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4"/>
  </bookViews>
  <sheets>
    <sheet name="BC KQKD" sheetId="1" r:id="rId1"/>
    <sheet name="BCDKT" sheetId="2" r:id="rId2"/>
    <sheet name="Sheet5" sheetId="3" r:id="rId3"/>
    <sheet name="Sheet4" sheetId="4" r:id="rId4"/>
    <sheet name="Sheet6" sheetId="5" r:id="rId5"/>
    <sheet name="00000000" sheetId="6" state="veryHidden" r:id="rId6"/>
    <sheet name="10000000" sheetId="7" state="veryHidden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<sst xmlns="http://schemas.openxmlformats.org/spreadsheetml/2006/main" count="949" uniqueCount="775">
  <si>
    <t>CÔNG TY CỔ PHẦNSARA VIET NAM</t>
  </si>
  <si>
    <t>Báo cáo tài chính</t>
  </si>
  <si>
    <t>P205-A5- KĐT Đại Kim- Định Công - Hoàng Mai - Hà Nội</t>
  </si>
  <si>
    <t>Cho quý 4 năm tài chính 2007</t>
  </si>
  <si>
    <t>Tel: (84-04) 6 413 757                Fax: (84-04) 6 413 575</t>
  </si>
  <si>
    <t>Mẫu số B 02-DN</t>
  </si>
  <si>
    <t xml:space="preserve">BÁO CÁO KẾT QUẢ HOẠT ĐỘNG KINH DOANH </t>
  </si>
  <si>
    <t>Từ ngày 01 tháng 10 đến  ngày 31 tháng 12 năm 2007</t>
  </si>
  <si>
    <t>Đơn vị tính : VND</t>
  </si>
  <si>
    <t>Tên chỉ tiêu</t>
  </si>
  <si>
    <t>Mã số</t>
  </si>
  <si>
    <t>Thuyết minh</t>
  </si>
  <si>
    <t>Kỳ này (Quý 4)</t>
  </si>
  <si>
    <t>Kỳ trước (9 tháng đầu năm 2007)</t>
  </si>
  <si>
    <t>1. Doanh thu bán hàng và cung cấp dịch vụ</t>
  </si>
  <si>
    <t>01</t>
  </si>
  <si>
    <t>VI.13</t>
  </si>
  <si>
    <t>2. Các khoản giảm trừ doanh thu</t>
  </si>
  <si>
    <t>02</t>
  </si>
  <si>
    <t>3. Doanh thu thuần về bán hàng và cung cấp dịch vụ (10=01-02)</t>
  </si>
  <si>
    <t>10</t>
  </si>
  <si>
    <t>VI.14</t>
  </si>
  <si>
    <t>4. Giá vốn hàng bán</t>
  </si>
  <si>
    <t>11</t>
  </si>
  <si>
    <t>VI.15</t>
  </si>
  <si>
    <t>5. Lợi nhuận gộp về bán hàng và cung cấp dịch vụ (20=10-11)</t>
  </si>
  <si>
    <t>20</t>
  </si>
  <si>
    <t>6. Doanh thu hoạt động tài chính</t>
  </si>
  <si>
    <t>21</t>
  </si>
  <si>
    <t>VI.16</t>
  </si>
  <si>
    <t>7. Chi phí tài chính</t>
  </si>
  <si>
    <t>22</t>
  </si>
  <si>
    <t>VI.17</t>
  </si>
  <si>
    <t>- Trong đó: Chi phí lãi vay</t>
  </si>
  <si>
    <t>23</t>
  </si>
  <si>
    <t>8. Chi phí bán hàng</t>
  </si>
  <si>
    <t>24</t>
  </si>
  <si>
    <t>9. Chi phí quản lý doanh nghiệp</t>
  </si>
  <si>
    <t>25</t>
  </si>
  <si>
    <t>VIII.2.6</t>
  </si>
  <si>
    <t>10. Lợi nhuận thuần từ hoạt động kinh doanh 30=20+(21-22)-(24+25)</t>
  </si>
  <si>
    <t>30</t>
  </si>
  <si>
    <t>11. Thu nhập khác</t>
  </si>
  <si>
    <t>31</t>
  </si>
  <si>
    <t>12. Chi phí khác</t>
  </si>
  <si>
    <t>32</t>
  </si>
  <si>
    <t>13. Lợi nhuận khác (40 = 31 - 32)</t>
  </si>
  <si>
    <t>40</t>
  </si>
  <si>
    <t>14. Tổng lợi nhuận kế toán trước thuế (50 = 30 + 40)</t>
  </si>
  <si>
    <t>50</t>
  </si>
  <si>
    <t>15. Chi phí thuế TNDN hiện hành</t>
  </si>
  <si>
    <t>51</t>
  </si>
  <si>
    <t>16. Chi phí thuế TNDN hoãn lại</t>
  </si>
  <si>
    <t>52</t>
  </si>
  <si>
    <t>17. Lợi nhuận sau thuế thu nhập doanh nghiệp (60=50–51-52)</t>
  </si>
  <si>
    <t>60</t>
  </si>
  <si>
    <t>Hà nội, ngày 01 tháng 02 năm 2008</t>
  </si>
  <si>
    <t>Người lập biểu</t>
  </si>
  <si>
    <t>Giám đốc</t>
  </si>
  <si>
    <t>Nguyễn Anh Tuấn</t>
  </si>
  <si>
    <t>Nguyễn Thế Sơn</t>
  </si>
  <si>
    <t>Mẫu số B 01-DN</t>
  </si>
  <si>
    <t xml:space="preserve">BẢNG CÂN ĐỐI KẾ TOÁN </t>
  </si>
  <si>
    <t>Ngày 31 tháng 12 năm 2007</t>
  </si>
  <si>
    <t>Đơn vị tính :VND</t>
  </si>
  <si>
    <t>Mã
 số</t>
  </si>
  <si>
    <t>Thuyết 
minh</t>
  </si>
  <si>
    <t>Số cuối kỳ
31/12/2007</t>
  </si>
  <si>
    <t>Số đầu kỳ
01/10/2007</t>
  </si>
  <si>
    <t xml:space="preserve">          TÀI SẢN</t>
  </si>
  <si>
    <t>A- TÀI SẢN NGẮN HẠN (100=110+120+130+140+150)</t>
  </si>
  <si>
    <t>100</t>
  </si>
  <si>
    <t>I.  Tiền và các khoản tương đương tiền</t>
  </si>
  <si>
    <t>110</t>
  </si>
  <si>
    <t>1.    Tiền</t>
  </si>
  <si>
    <t>111</t>
  </si>
  <si>
    <t>V.1.1</t>
  </si>
  <si>
    <t>1.    Các khoản tương đương tiền</t>
  </si>
  <si>
    <t>112</t>
  </si>
  <si>
    <t>II.  Các khoản đầu tư tài chính ngắn hạn</t>
  </si>
  <si>
    <t>120</t>
  </si>
  <si>
    <t>1.    Đầu tư ngắn hạn</t>
  </si>
  <si>
    <t>121</t>
  </si>
  <si>
    <t>2.    Dự phòng giảm giá đầu tư ngắn hạn (*)</t>
  </si>
  <si>
    <t>129</t>
  </si>
  <si>
    <t>III.  Các khoản phải thu ngắn hạn</t>
  </si>
  <si>
    <t>130</t>
  </si>
  <si>
    <t>1.    Phải thu khách hàng</t>
  </si>
  <si>
    <t>131</t>
  </si>
  <si>
    <t>VIII.2.1</t>
  </si>
  <si>
    <t>2.    Trả trước cho người bán</t>
  </si>
  <si>
    <t>132</t>
  </si>
  <si>
    <t>VIII.2.2</t>
  </si>
  <si>
    <t>3.    Phải thu nội bộ ngắn hạn</t>
  </si>
  <si>
    <t>133</t>
  </si>
  <si>
    <t>4.    Phải thu theo tiến độ kế hoạch hợp đồng xây dựng</t>
  </si>
  <si>
    <t>134</t>
  </si>
  <si>
    <t>5.    Các khoản phải thu khác</t>
  </si>
  <si>
    <t>138</t>
  </si>
  <si>
    <t>V.2.1</t>
  </si>
  <si>
    <t>6.    Dự phòng phải thu ngắn hạn khó đòi (*)</t>
  </si>
  <si>
    <t>139</t>
  </si>
  <si>
    <t>IV.  Hàng tồn kho</t>
  </si>
  <si>
    <t>140</t>
  </si>
  <si>
    <t>1.    Hàng tồn kho</t>
  </si>
  <si>
    <t>141</t>
  </si>
  <si>
    <t>V.3</t>
  </si>
  <si>
    <t>2.    Dự phòng giảm giá hàng tồn kho (*)</t>
  </si>
  <si>
    <t>149</t>
  </si>
  <si>
    <t>V.  Tài sản ngắn hạn khác</t>
  </si>
  <si>
    <t>150</t>
  </si>
  <si>
    <t>1.    Chi phí trả trước ngắn hạn</t>
  </si>
  <si>
    <t>151</t>
  </si>
  <si>
    <t>2.    Thuế GTGT được khấu trừ</t>
  </si>
  <si>
    <t>152</t>
  </si>
  <si>
    <t>3.    Thuế và các khoản khác phải thu Nhà nước</t>
  </si>
  <si>
    <t>154</t>
  </si>
  <si>
    <t>4.    Tài sản ngắn hạn khác</t>
  </si>
  <si>
    <t>158</t>
  </si>
  <si>
    <t>VIII.2.3</t>
  </si>
  <si>
    <t>B - TÀI SẢN DÀI HẠN (200=210+220+240+250+260)</t>
  </si>
  <si>
    <t>200</t>
  </si>
  <si>
    <t>I.  Các khoản phải thu dài hạn</t>
  </si>
  <si>
    <t>210</t>
  </si>
  <si>
    <t>1.    Phải thu dài hạn của khách hàng</t>
  </si>
  <si>
    <t>211</t>
  </si>
  <si>
    <t>2.    Vốn kinh doanh ở đơn vị trực thuộc</t>
  </si>
  <si>
    <t>212</t>
  </si>
  <si>
    <t>3.    Phải thu dài hạn nội bộ</t>
  </si>
  <si>
    <t>213</t>
  </si>
  <si>
    <t>4.    Phải thu dài hạn khác</t>
  </si>
  <si>
    <t>218</t>
  </si>
  <si>
    <t>5.    Dự phòng phải thu dài hạn khó đòi (*)</t>
  </si>
  <si>
    <t>219</t>
  </si>
  <si>
    <t>II.  Tài sản cố định</t>
  </si>
  <si>
    <t>220</t>
  </si>
  <si>
    <t>1.    Tài sản cố định hữu hình</t>
  </si>
  <si>
    <t>221</t>
  </si>
  <si>
    <t>V.4</t>
  </si>
  <si>
    <t>-      Nguyên giá</t>
  </si>
  <si>
    <t>222</t>
  </si>
  <si>
    <t>-      Giá trị hao mòn luỹ kế (*)</t>
  </si>
  <si>
    <t>223</t>
  </si>
  <si>
    <t>2.    Tài sản cố định thuê tài chính</t>
  </si>
  <si>
    <t>224</t>
  </si>
  <si>
    <t>225</t>
  </si>
  <si>
    <t>226</t>
  </si>
  <si>
    <t>3.    Tài sản cố định vô hình</t>
  </si>
  <si>
    <t>227</t>
  </si>
  <si>
    <t>V.5</t>
  </si>
  <si>
    <t>228</t>
  </si>
  <si>
    <t>229</t>
  </si>
  <si>
    <t>4.    Chi phí xây dựng cơ bản dở dang</t>
  </si>
  <si>
    <t>230</t>
  </si>
  <si>
    <t>III.  Bất động sản đầu tư</t>
  </si>
  <si>
    <t>240</t>
  </si>
  <si>
    <t>241</t>
  </si>
  <si>
    <t>242</t>
  </si>
  <si>
    <t>IV.   Các khoản đầu tư tài chính dài hạn</t>
  </si>
  <si>
    <t>250</t>
  </si>
  <si>
    <t>1.     Đầu tư vào công ty con</t>
  </si>
  <si>
    <t>251</t>
  </si>
  <si>
    <t>2.     Đầu tư vào công ty liên kết, liên doanh</t>
  </si>
  <si>
    <t>252</t>
  </si>
  <si>
    <t>3.     Đầu tư dài hạn khác</t>
  </si>
  <si>
    <t>258</t>
  </si>
  <si>
    <t>4.     Dự phòng giảm giá đầu tư tài chính dài hạn (*)</t>
  </si>
  <si>
    <t>259</t>
  </si>
  <si>
    <t>V.   Tài sản dài hạn khác</t>
  </si>
  <si>
    <t>260</t>
  </si>
  <si>
    <t>1.     Chi phí trả trước dài hạn</t>
  </si>
  <si>
    <t>261</t>
  </si>
  <si>
    <t>V.6</t>
  </si>
  <si>
    <t>2.     Tài sản thuế thu nhập hoãn lại</t>
  </si>
  <si>
    <t>262</t>
  </si>
  <si>
    <t>3.     Tài sản dài hạn khác</t>
  </si>
  <si>
    <t>268</t>
  </si>
  <si>
    <t>TỔNG CỘNG TÀI SẢN (270 = 100 + 200)</t>
  </si>
  <si>
    <t>270</t>
  </si>
  <si>
    <t xml:space="preserve">          NGUỒN VỐN</t>
  </si>
  <si>
    <t>A - NỢ PHẢI TRẢ (300 = 310 + 330)</t>
  </si>
  <si>
    <t>300</t>
  </si>
  <si>
    <t>I.  Nợ ngắn hạn</t>
  </si>
  <si>
    <t>310</t>
  </si>
  <si>
    <t>1.   Vay và nợ ngắn hạn</t>
  </si>
  <si>
    <t>311</t>
  </si>
  <si>
    <t>V.7</t>
  </si>
  <si>
    <t>2.   Phải trả người bán</t>
  </si>
  <si>
    <t>312</t>
  </si>
  <si>
    <t>VIII.2.4</t>
  </si>
  <si>
    <t>3.   Người mua trả tiền trước</t>
  </si>
  <si>
    <t>313</t>
  </si>
  <si>
    <t>VIII.2.5</t>
  </si>
  <si>
    <t>4.   Thuế và các khoản phải nộp Nhà nước</t>
  </si>
  <si>
    <t>314</t>
  </si>
  <si>
    <t>V.8</t>
  </si>
  <si>
    <t>5.   Phải trả người lao động</t>
  </si>
  <si>
    <t>315</t>
  </si>
  <si>
    <t>6.   Chi phí phải trả</t>
  </si>
  <si>
    <t>316</t>
  </si>
  <si>
    <t>V.9</t>
  </si>
  <si>
    <t>7.   Phải trả nội bộ</t>
  </si>
  <si>
    <t>317</t>
  </si>
  <si>
    <t>8.   Phải trả theo tiến độ kế hoạch hợp đồng xây dựng</t>
  </si>
  <si>
    <t>318</t>
  </si>
  <si>
    <t>9.   Các khoản phải trả, phải nộp ngắn hạn khác</t>
  </si>
  <si>
    <t>319</t>
  </si>
  <si>
    <t>V.10</t>
  </si>
  <si>
    <t>10.  Dự phòng phải trả ngắn hạn</t>
  </si>
  <si>
    <t>320</t>
  </si>
  <si>
    <t>II. Nợ dài hạn</t>
  </si>
  <si>
    <t>330</t>
  </si>
  <si>
    <t>1.   Phải trả dài hạn người bán</t>
  </si>
  <si>
    <t>331</t>
  </si>
  <si>
    <t>2.   Phải trả dài hạn nội bộ</t>
  </si>
  <si>
    <t>332</t>
  </si>
  <si>
    <t>3.   Phải trả dài hạn khác</t>
  </si>
  <si>
    <t>333</t>
  </si>
  <si>
    <t>4.   Vay và nợ dài hạn</t>
  </si>
  <si>
    <t>334</t>
  </si>
  <si>
    <t>V.11</t>
  </si>
  <si>
    <t>5.   Thuế thu nhập hoãn lại phải trả</t>
  </si>
  <si>
    <t>335</t>
  </si>
  <si>
    <t>6.   Dự phòng trợ cấp mất việc làm</t>
  </si>
  <si>
    <t>336</t>
  </si>
  <si>
    <t>7.   Dự phòng phải trả dài hạn</t>
  </si>
  <si>
    <t>337</t>
  </si>
  <si>
    <t>B - VỐN CHỦ SỞ HỮU (400 = 410 + 430)</t>
  </si>
  <si>
    <t>400</t>
  </si>
  <si>
    <t>I.  Vốn chủ sở hữu</t>
  </si>
  <si>
    <t>410</t>
  </si>
  <si>
    <t>V.12</t>
  </si>
  <si>
    <t>1.   Vốn đầu tư của chủ sở hữu</t>
  </si>
  <si>
    <t>411</t>
  </si>
  <si>
    <t>2.   Thặng dư vốn cổ phần</t>
  </si>
  <si>
    <t>412</t>
  </si>
  <si>
    <t>3.   Vốn khác của chủ sở hữu</t>
  </si>
  <si>
    <t>413</t>
  </si>
  <si>
    <t>4.   Cổ phiếu quỹ (*)</t>
  </si>
  <si>
    <t>414</t>
  </si>
  <si>
    <t>5.   Chênh lệch đánh giá lại tài sản</t>
  </si>
  <si>
    <t>415</t>
  </si>
  <si>
    <t>6.   Chênh lệch tỷ giá hối đoái</t>
  </si>
  <si>
    <t>416</t>
  </si>
  <si>
    <t>7.   Quỹ đầu tư phát triển</t>
  </si>
  <si>
    <t>417</t>
  </si>
  <si>
    <t>8.   Quỹ dự phòng tài chính</t>
  </si>
  <si>
    <t>418</t>
  </si>
  <si>
    <t>9.   Quỹ khác thuộc vốn chủ sở hữu</t>
  </si>
  <si>
    <t>419</t>
  </si>
  <si>
    <t>10.  Lợi nhuận sau thuế chưa phân phối</t>
  </si>
  <si>
    <t>420</t>
  </si>
  <si>
    <t>11.  Nguồn vốn đầu tư XDCB</t>
  </si>
  <si>
    <t>421</t>
  </si>
  <si>
    <t>II. Nguồn kinh phí và quỹ khác</t>
  </si>
  <si>
    <t>430</t>
  </si>
  <si>
    <t>1.   Quỹ khen thưởng, phúc lợi</t>
  </si>
  <si>
    <t>431</t>
  </si>
  <si>
    <t>2.   Nguồn kinh phí</t>
  </si>
  <si>
    <t>432</t>
  </si>
  <si>
    <t>3.   Nguồn kinh phí đã hình thành TSCĐ</t>
  </si>
  <si>
    <t>433</t>
  </si>
  <si>
    <t>TỔNG CỘNG NGUỒN VỐN (440 = 300 + 400)</t>
  </si>
  <si>
    <t>440</t>
  </si>
  <si>
    <t>CÁC CHỈ TIÊU NGOÀI BẢNG CÂN ĐỐI KẾ TOÁN</t>
  </si>
  <si>
    <t>Số cuối kỳ</t>
  </si>
  <si>
    <t>Số đầu kỳ</t>
  </si>
  <si>
    <t>1. Tài sản thuê ngoài</t>
  </si>
  <si>
    <t>2. Vật tư, hàng hóa nhận giữ hộ, nhận gia công</t>
  </si>
  <si>
    <t>3. Hàng hóa nhận bán hộ, nhận ký gửi, ký cược</t>
  </si>
  <si>
    <t>4. Nợ khó đòi đã xử lý</t>
  </si>
  <si>
    <t>5. Ngoại tệ các loại</t>
  </si>
  <si>
    <t>6. Dự toán chi sự nghiệp, dự án</t>
  </si>
  <si>
    <t xml:space="preserve">            Người lập biểu</t>
  </si>
  <si>
    <t xml:space="preserve">          Nguyễn Anh Tuấn</t>
  </si>
  <si>
    <t>Cho quý 04 năm tài chính 2007</t>
  </si>
  <si>
    <t xml:space="preserve">BÀNG CÂN ĐỐI PHÁT SINH </t>
  </si>
  <si>
    <t>Từ ngày 01 tháng 10 đến ngày 31  tháng 12 năm 2007</t>
  </si>
  <si>
    <t>Tài khoản</t>
  </si>
  <si>
    <t>Tên tài khoản</t>
  </si>
  <si>
    <t>Số dư đầu kỳ</t>
  </si>
  <si>
    <t>Phát sinh trong kỳ</t>
  </si>
  <si>
    <t>Số dư cuối kỳ</t>
  </si>
  <si>
    <t xml:space="preserve">Nợ </t>
  </si>
  <si>
    <t>Có</t>
  </si>
  <si>
    <t>Tiền mặt</t>
  </si>
  <si>
    <t>1111</t>
  </si>
  <si>
    <t>Tiền Việt Nam</t>
  </si>
  <si>
    <t>Tiền gửi ngân hàng</t>
  </si>
  <si>
    <t>1121</t>
  </si>
  <si>
    <t>11211</t>
  </si>
  <si>
    <t>Ngân hàng Nông nghiệp</t>
  </si>
  <si>
    <t>11212</t>
  </si>
  <si>
    <t>Ngân hàng Ngoại thương Hà Nội ( Vietcombank)</t>
  </si>
  <si>
    <t>11213</t>
  </si>
  <si>
    <t>Ngân hàng Sài gòn công thương</t>
  </si>
  <si>
    <t>Phải thu của khách hàng</t>
  </si>
  <si>
    <t>1311</t>
  </si>
  <si>
    <t>13111</t>
  </si>
  <si>
    <t>Phải thu của khách hàng (Ngắn hạn)</t>
  </si>
  <si>
    <t>131111</t>
  </si>
  <si>
    <t>Phải thu ngắn hạn của khách hàng hoạt động sản xuất kinh doanh</t>
  </si>
  <si>
    <t>1312</t>
  </si>
  <si>
    <t>Khách hàng ứng trước</t>
  </si>
  <si>
    <t>Thuế GTGT được khấu trừ</t>
  </si>
  <si>
    <t>1331</t>
  </si>
  <si>
    <t>Thuế GTGT được khấu trừ của hàng hóa, dịch vụ</t>
  </si>
  <si>
    <t>1332</t>
  </si>
  <si>
    <t>Thuế GTGT được khấu trừ của TSCĐ</t>
  </si>
  <si>
    <t>Phải thu khác</t>
  </si>
  <si>
    <t>1388</t>
  </si>
  <si>
    <t>Tạm ứng</t>
  </si>
  <si>
    <t>142</t>
  </si>
  <si>
    <t>Chi phí trả trước ngắn hạn</t>
  </si>
  <si>
    <t>Tài sản cố định</t>
  </si>
  <si>
    <t>2111</t>
  </si>
  <si>
    <t>TSCĐ hữu hình</t>
  </si>
  <si>
    <t>2113</t>
  </si>
  <si>
    <t>TSCĐ vô hình</t>
  </si>
  <si>
    <t>214</t>
  </si>
  <si>
    <t>Hao mòn TSCĐ</t>
  </si>
  <si>
    <t>2141</t>
  </si>
  <si>
    <t>Hao mòn TSCĐ hữu hình</t>
  </si>
  <si>
    <t>2143</t>
  </si>
  <si>
    <t>Hao mòn TSCĐ vô hình</t>
  </si>
  <si>
    <t>Xây dựng cơ bản dở dang</t>
  </si>
  <si>
    <t>2412</t>
  </si>
  <si>
    <t>Xây dựng cơ bản</t>
  </si>
  <si>
    <t>2413</t>
  </si>
  <si>
    <t>Sửa chữa lớn TSCĐ</t>
  </si>
  <si>
    <t>Chi phí trả trước dài hạn</t>
  </si>
  <si>
    <t>Nợ dài hạn đến hạn trả</t>
  </si>
  <si>
    <t>Phải trả cho người bán</t>
  </si>
  <si>
    <t>3311</t>
  </si>
  <si>
    <t>33111</t>
  </si>
  <si>
    <t>Phải trả cho người bán (Ngắn hạn)</t>
  </si>
  <si>
    <t>331111</t>
  </si>
  <si>
    <t>Phải trả ngắn hạn cho người bán hoạt động sản xuất kinh doanh</t>
  </si>
  <si>
    <t>3312</t>
  </si>
  <si>
    <t>Trả trước cho người bán</t>
  </si>
  <si>
    <t>Thuế và các khoản phải nộp nhà nước</t>
  </si>
  <si>
    <t>3331</t>
  </si>
  <si>
    <t>Thuế giá trị gia tăng phải nộp</t>
  </si>
  <si>
    <t>33311</t>
  </si>
  <si>
    <t>Thuế GTGT đầu ra</t>
  </si>
  <si>
    <t>3334</t>
  </si>
  <si>
    <t>Thuế thu nhập doanh nghiệp</t>
  </si>
  <si>
    <t>Phải trả người lao động</t>
  </si>
  <si>
    <t>Chi phí phải trả</t>
  </si>
  <si>
    <t>338</t>
  </si>
  <si>
    <t>Phải trả, phải nộp khác</t>
  </si>
  <si>
    <t>3383</t>
  </si>
  <si>
    <t>Bảo hiểm xã hội</t>
  </si>
  <si>
    <t>3388</t>
  </si>
  <si>
    <t>Nguồn vốn kinh doanh</t>
  </si>
  <si>
    <t>4111</t>
  </si>
  <si>
    <t>Vốn đầu tư của chủ sở hữu</t>
  </si>
  <si>
    <t>Lợi nhuận chưa phân phối</t>
  </si>
  <si>
    <t>4212</t>
  </si>
  <si>
    <t>Lợi nhuận chưa phân phối năm nay</t>
  </si>
  <si>
    <t>511</t>
  </si>
  <si>
    <t>Doanh thu bán hàng và cung cấp dịch vụ</t>
  </si>
  <si>
    <t>5111</t>
  </si>
  <si>
    <t>Doanh thu bán hàng hóa</t>
  </si>
  <si>
    <t>5113</t>
  </si>
  <si>
    <t>Doanh thu cung cấp dịch vụ</t>
  </si>
  <si>
    <t>515</t>
  </si>
  <si>
    <t>Doanh thu hoạt động tài chính</t>
  </si>
  <si>
    <t>632</t>
  </si>
  <si>
    <t>Giá vốn hàng bán</t>
  </si>
  <si>
    <t>635</t>
  </si>
  <si>
    <t>Chi phí tài chính</t>
  </si>
  <si>
    <t>642</t>
  </si>
  <si>
    <t>Chi phí quản lí kinh doanh</t>
  </si>
  <si>
    <t>6422</t>
  </si>
  <si>
    <t>Chi phí quản lý doanh nghiệp</t>
  </si>
  <si>
    <t>911</t>
  </si>
  <si>
    <t>Xác định kết quả kinh doanh</t>
  </si>
  <si>
    <t>Cộng phát sinh</t>
  </si>
  <si>
    <t xml:space="preserve">                   B¸o c¸o tµi chÝnh </t>
  </si>
  <si>
    <t>MÉu sè B 09 - DN</t>
  </si>
  <si>
    <t>B¶n thuyÕt minh b¸o c¸o tµi chÝnh</t>
  </si>
  <si>
    <t>(tiÕp theo)</t>
  </si>
  <si>
    <t>V.</t>
  </si>
  <si>
    <t>Th«ng tin bæ sung cho c¸c kho¶n môc tr×nh bµy trong B¶ng c©n ®èi kÕ to¸n</t>
  </si>
  <si>
    <t>1.</t>
  </si>
  <si>
    <t>TiÒn vµ c¸c kho¶n t­¬ng ®­¬ng tiÒn</t>
  </si>
  <si>
    <t>31/12/2006</t>
  </si>
  <si>
    <t>01/01/2006</t>
  </si>
  <si>
    <t>VND</t>
  </si>
  <si>
    <t>1.1</t>
  </si>
  <si>
    <t>TiÒn</t>
  </si>
  <si>
    <t>TiÒn mÆt t¹i quü</t>
  </si>
  <si>
    <t>TiÒn mÆt VND</t>
  </si>
  <si>
    <t>TiÒn göi Ng©n hµng</t>
  </si>
  <si>
    <t>Ng©n hµng NNo &amp; PTNT ViÖt Nam - CN Hoµng Mai</t>
  </si>
  <si>
    <t>Ng©n hµng Vietcombank</t>
  </si>
  <si>
    <t xml:space="preserve">Ng©n hµng Sµi Gßn C«ng th­¬ng </t>
  </si>
  <si>
    <t>Tæng céng</t>
  </si>
  <si>
    <t>C¸c kho¶n ph¶i thu ng¾n h¹n kh¸c</t>
  </si>
  <si>
    <t>2.1</t>
  </si>
  <si>
    <t>Ph¶i thu kh¸c</t>
  </si>
  <si>
    <t>C«ng ty CP Sara</t>
  </si>
  <si>
    <t>TrÇn Kh¾c Hïng</t>
  </si>
  <si>
    <t>Häc viªn</t>
  </si>
  <si>
    <t>C«ng ty CP ®Çu t­ XD Sara 425</t>
  </si>
  <si>
    <t>Hµng tån kho</t>
  </si>
  <si>
    <t>C«ng cô dông cô</t>
  </si>
  <si>
    <t>Chi phÝ s¶n xuÊt kinh doanh dë dang</t>
  </si>
  <si>
    <t>Ho¹t ®éng x©y dùng</t>
  </si>
  <si>
    <t>Ho¹t ®éng kh¸c</t>
  </si>
  <si>
    <t>Thµnh phÈm tån kho</t>
  </si>
  <si>
    <t>Hµng ho¸</t>
  </si>
  <si>
    <t>Hµng ho¸ kh¸c</t>
  </si>
  <si>
    <t>Hµng göi ®i b¸n</t>
  </si>
  <si>
    <t>-</t>
  </si>
  <si>
    <t>Hµng ho¸ kho b¶o thuÕ</t>
  </si>
  <si>
    <t>Hµng ho¸ bÊt ®éng s¶n</t>
  </si>
  <si>
    <t>Céng gi¸ gèc hµng tån kho</t>
  </si>
  <si>
    <t>4.</t>
  </si>
  <si>
    <t>T¨ng, gi¶m tµi s¶n cè ®Þnh h÷u h×nh</t>
  </si>
  <si>
    <t>§¬n vÞ tÝnh: VND</t>
  </si>
  <si>
    <t>Kho¶n môc</t>
  </si>
  <si>
    <t>M¸y mãc thiÕt bÞ</t>
  </si>
  <si>
    <t>Ph­¬ng tiÖn vËn t¶i</t>
  </si>
  <si>
    <t>ThiÕt bÞ, dông cô qu¶n lý</t>
  </si>
  <si>
    <t>Nguyªn gi¸</t>
  </si>
  <si>
    <t>Mua trong kú</t>
  </si>
  <si>
    <t>Gi¶m trong kú</t>
  </si>
  <si>
    <t>Gi¸ trÞ hao mßn luü kÕ</t>
  </si>
  <si>
    <t>T¨ng trong kú</t>
  </si>
  <si>
    <t>Gi¶m kh¸c</t>
  </si>
  <si>
    <t>Gi¸ trÞ cßn l¹i</t>
  </si>
  <si>
    <t>QuyÒn sö dông ®Êt</t>
  </si>
  <si>
    <t>PhÇn mÒm hÖ thèng dù ®o¸n</t>
  </si>
  <si>
    <t>Mua trong n¨m</t>
  </si>
  <si>
    <t>T¹o ra tõ néi bé doanh nghiÖp</t>
  </si>
  <si>
    <t>T¨ng do hîp nhÊt kinh doanh</t>
  </si>
  <si>
    <t>T¨ng kh¸c</t>
  </si>
  <si>
    <t>Thanh lý, nh­îng b¸n</t>
  </si>
  <si>
    <t>Chi phÝ tr¶ tr­íc dµi h¹n</t>
  </si>
  <si>
    <t>C¸c kho¶n vay vµ nî ng¾n h¹n</t>
  </si>
  <si>
    <t>ThuÕ vµ c¸c kho¶n ph¶i nép Nhµ n­íc</t>
  </si>
  <si>
    <t>Sè ph¶i nép</t>
  </si>
  <si>
    <t>Sè ®· nép</t>
  </si>
  <si>
    <t>ThuÕ GTGT</t>
  </si>
  <si>
    <t>ThuÕ TNDN</t>
  </si>
  <si>
    <t>ThuÕ nhµ ®Êt vµ tiÒn thuª ®Êt</t>
  </si>
  <si>
    <t>Céng thuÕ vµ c¸c kho¶n ph¶i nép Nhµ n­íc</t>
  </si>
  <si>
    <t>Chi phÝ ph¶i tr¶</t>
  </si>
  <si>
    <t>Chi phÝ dÞch vô SMS</t>
  </si>
  <si>
    <t>C¸c kho¶n ph¶i tr¶, ph¶i nép ng¾n h¹n kh¸c</t>
  </si>
  <si>
    <t>BHXH</t>
  </si>
  <si>
    <t>Vay vµ nî dµi h¹n</t>
  </si>
  <si>
    <t>[1]   Sè d­ tiÒn vay dµi h¹n cña Ng©n hµng TMCP c¸c doanh nghiÖp ngoµi quèc doanh ViÖt Nam (VPBank) theo hîp ®ång tÝn dông sè G0528530 ngµy 29/12/2005</t>
  </si>
  <si>
    <t xml:space="preserve">Sè tiÒn vay                    </t>
  </si>
  <si>
    <t>: 180.000.000 VND</t>
  </si>
  <si>
    <t xml:space="preserve">Môc ®Ých vay               </t>
  </si>
  <si>
    <t>: Tr¶ gãp mua xe «t« DAEWOO  Lanos 5 chç míi 100%.</t>
  </si>
  <si>
    <t xml:space="preserve">Thêi h¹n cho vay         </t>
  </si>
  <si>
    <t>: 36 th¸ng kÓ tõ ngµy 29/12/2005.</t>
  </si>
  <si>
    <t xml:space="preserve">KÕ ho¹ch tr¶ nî gèc    </t>
  </si>
  <si>
    <t>: 5.000.000 VND/th¸ng b¾t ®Çu tõ th¸ng thø 2 kÓ tõ ngµy 29/12/2005.</t>
  </si>
  <si>
    <t xml:space="preserve">L·i suÊt                         </t>
  </si>
  <si>
    <t>: 1,1%/th¸ng (l·i suÊt qu¸ h¹n b»ng 150% l·i suÊt trong h¹n).</t>
  </si>
  <si>
    <t xml:space="preserve">Tµi s¶n ®¶m b¶o     </t>
  </si>
  <si>
    <t>: Xe «t« DAEWOO Lanos cã BKS 29X-9428; gi¸ trÞ: 277.000.000 VND</t>
  </si>
  <si>
    <t>Sè d­ ®Õn 30/09/2007</t>
  </si>
  <si>
    <t>: 90.000.000 VND</t>
  </si>
  <si>
    <t>Sè ®Õn h¹n tr¶</t>
  </si>
  <si>
    <t>: 18.477.000 VND</t>
  </si>
  <si>
    <t>Tµi s¶n thuÕ thu nhËp ho·n l¹i vµ thuÕ thu nhËp ho·n l¹i ph¶i tr¶</t>
  </si>
  <si>
    <t>Tµi s¶n thuÕ thu nhËp ho·n l¹i</t>
  </si>
  <si>
    <t>Tµi s¶n thuÕ thu nhËp ho·n l¹i liªn quan ®Õn kho¶n chªnh lÖch t¹m thêi ®­îc khÊu trõ</t>
  </si>
  <si>
    <t>Tµi s¶n thuÕ thu nhËp ho·n l¹i liªn quan ®Õn kho¶n lç tÝnh thuÕ ch­a sö dông</t>
  </si>
  <si>
    <t>Tµi s¶n thuÕ thu nhËp ho·n l¹i liªn quan ®Õn kho¶n ­u ®·i thuÕ ch­a sö dông</t>
  </si>
  <si>
    <t>Kho¶n hoµn nhËp tµi s¶n thuÕ thu nhËp ho·n l¹i ®· ®­îc ghi nhËn tõ nh÷ng n¨m tr­íc</t>
  </si>
  <si>
    <t>ThuÕ thu nhËp ho·n l¹i ph¶i tr¶</t>
  </si>
  <si>
    <t>ThuÕ thu nhËp ho·n l¹i ph¶i tr¶ ph¸t sinh tõ c¸c kho¶n chªnh lÖch t¹m thêi chÞu thuÕ</t>
  </si>
  <si>
    <t>Kho¶n hoµn nhËp thuÕ thu nhËp ho·n l¹i ph¶i tr¶ ®· ®­îc ghi nhËn tõ nh÷ng n¨m tr­íc</t>
  </si>
  <si>
    <t>Vèn chñ së h÷u</t>
  </si>
  <si>
    <t>B¶ng ®èi chiÕu biÕn ®éng cña vèn chñ së h÷u</t>
  </si>
  <si>
    <t>Vèn ®Çu t­ cña chñ së h÷u</t>
  </si>
  <si>
    <t>ThÆng d­ vèn cæ phÇn</t>
  </si>
  <si>
    <t>Lîi nhuËn ch­a ph©n phèi</t>
  </si>
  <si>
    <t>- T¨ng vèn trong kú</t>
  </si>
  <si>
    <t>- L·i trong kú</t>
  </si>
  <si>
    <t>- T¨ng kh¸c</t>
  </si>
  <si>
    <t>- Gi¶m vèn trong kú</t>
  </si>
  <si>
    <t xml:space="preserve">- Ph©n phèi lîi nhuËn </t>
  </si>
  <si>
    <t>- §iÒu chØnh gi¶m</t>
  </si>
  <si>
    <t>NguyÔn ThÕ S¬n</t>
  </si>
  <si>
    <t>Sè d­ t¹i ngµy 30/09/2007</t>
  </si>
  <si>
    <t>Chi tiÕt vèn ®Çu t­ cña chñ së h÷u</t>
  </si>
  <si>
    <t>Gi¸ trÞ tr¸i phiÕu ®· chuyÓn thµnh cæ phiÕu trong n¨m: 0</t>
  </si>
  <si>
    <t>Sè l­îng cæ phiÕu quü: 0</t>
  </si>
  <si>
    <t>§èi víi doanh nghiÖp ho¹t ®éng theo LuËt ®Çu t­ n­íc ngoµi:</t>
  </si>
  <si>
    <t>Ng­êi gãp vèn</t>
  </si>
  <si>
    <t>Vèn gãp theo GP§T</t>
  </si>
  <si>
    <t>Vèn gãp thùc tÕ ®Õn 31/12/2006</t>
  </si>
  <si>
    <t>USD</t>
  </si>
  <si>
    <t>Tû lÖ (%)</t>
  </si>
  <si>
    <t>¤ng ...</t>
  </si>
  <si>
    <t>Bµ...</t>
  </si>
  <si>
    <t>C¸c giao dÞch vÒ vèn víi c¸c chñ së h÷u vµ ph©n phèi cæ tøc, lîi nhuËn ®­îc chia:</t>
  </si>
  <si>
    <t>Vèn gãp ®Çu kú</t>
  </si>
  <si>
    <t>Vèn gãp t¨ng trong kú</t>
  </si>
  <si>
    <t>Vèn gãp gi¶m trong kú</t>
  </si>
  <si>
    <t>Vèn gãp cuèi kú</t>
  </si>
  <si>
    <t>Cæ tøc, lîi nhuËn ®· chia</t>
  </si>
  <si>
    <t>Cæ tøc</t>
  </si>
  <si>
    <t>Cæ tøc ®· c«ng bè sau ngµy kÕt thóc kú kÕ to¸n n¨m:</t>
  </si>
  <si>
    <t>- Cæ tøc ®· c«ng bè trªn cæ phiÕu phæ th«ng:</t>
  </si>
  <si>
    <t>- Cæ tøc ®· c«ng bè trªn cæ phiÕu ­u ®·i:</t>
  </si>
  <si>
    <t>Cæ tøc cña cæ phiÕu ­u ®·i luü kÕ ch­a ®­îc ghi nhËn:</t>
  </si>
  <si>
    <t>Cæ phiÕu</t>
  </si>
  <si>
    <t xml:space="preserve">Sè l­îng cæ phiÕu ®¨ng ký ph¸t hµnh: </t>
  </si>
  <si>
    <t>: 1.000.000 cæ phiÕu</t>
  </si>
  <si>
    <t>Sè l­îng cæ phiÕu b¸n ra c«ng chóng:</t>
  </si>
  <si>
    <t xml:space="preserve">- Cæ phiÕu phæ th«ng: </t>
  </si>
  <si>
    <t>- Cæ phiÕu ­u ®·i</t>
  </si>
  <si>
    <t>: 0 cæ phiÕu</t>
  </si>
  <si>
    <t>Sè l­îng cæ phiÕu ®­îc mua l¹i:</t>
  </si>
  <si>
    <t>- Cæ phiÕu phæ th«ng</t>
  </si>
  <si>
    <t>Sè l­îng cæ phiÕu ®ang l­u hµnh:</t>
  </si>
  <si>
    <t>MÖnh gi¸ cæ phiÕu tõ 01/01/2006 ®Õn 23/12/2006 lµ: 1.000.000 ®ång</t>
  </si>
  <si>
    <t>MÖnh gi¸ cæ phiÕu l­u hµnh tõ 24/12/2006 ®Õn 31/12/2007 lµ: 10.000 ®ång</t>
  </si>
  <si>
    <t>VI.</t>
  </si>
  <si>
    <t>Th«ng tin bæ sung cho c¸c kho¶n môc tr×nh bµy trong b¸o c¸o kÕt qu¶ ho¹t ®éng kinh doanh</t>
  </si>
  <si>
    <t>Tæng doanh thu b¸n hµng vµ cung cÊp dÞch vô</t>
  </si>
  <si>
    <t>Doanh thu ho¹t ®éng kh«ng ®­îc ­u ®·i thuÕ TNDN</t>
  </si>
  <si>
    <t>Doanh thu ho¹t ®éng x©y l¾p</t>
  </si>
  <si>
    <t>Doanh thu dÞch vô Internet</t>
  </si>
  <si>
    <t>Doanh thu dÞch vô SMS</t>
  </si>
  <si>
    <t>Doanh thu ho¹t ®éng kh¸c</t>
  </si>
  <si>
    <t>Doanh thu ho¹t ®éng ®­îc ­u ®·i thuÕ TNDN</t>
  </si>
  <si>
    <t>Doanh thu ho¹t ®éng chuyÓn giao c«ng nghÖ</t>
  </si>
  <si>
    <t>Doanh thu dÞch vô thiÕt kÕ Website</t>
  </si>
  <si>
    <t>Doanh thu dÞch vô ®µo t¹o</t>
  </si>
  <si>
    <t>C¸c kho¶n gi¶m trõ doanh thu</t>
  </si>
  <si>
    <t>ChiÕt khÊu th­¬ng m¹i</t>
  </si>
  <si>
    <t>Doanh thu cung cÊp dÞch vô</t>
  </si>
  <si>
    <t>Hµng b¸n bÞ tr¶ l¹i</t>
  </si>
  <si>
    <t>ThuÕ GTGT ph¶i nép (ph­¬ng ph¸p trùc tiÕp)</t>
  </si>
  <si>
    <t>ThuÕ tiªu thô ®Æc biÖt</t>
  </si>
  <si>
    <t>ThuÕ xuÊt khÈu</t>
  </si>
  <si>
    <t>Doanh thu thuÇn vÒ b¸n hµng vµ cung cÊp dÞch vô</t>
  </si>
  <si>
    <t>Gi¸ vèn hµng b¸n</t>
  </si>
  <si>
    <t>Gi¸ vèn ho¹t ®éng kh«ng ®­îc ­u ®·i thuÕ TNDN</t>
  </si>
  <si>
    <t>Gi¸ vèn ho¹t ®éng x©y l¾p</t>
  </si>
  <si>
    <t>Gi¸ vèn dÞch vô Internet</t>
  </si>
  <si>
    <t>Gi¸ vèn dÞch vô SMS</t>
  </si>
  <si>
    <t>Gi¸ vèn ho¹t ®éng kh¸c</t>
  </si>
  <si>
    <t>Gi¸ vèn ho¹t ®éng ®­îc ­u ®·i thuÕ TNDN</t>
  </si>
  <si>
    <t>Gi¸ vèn ho¹t ®éng chuyÓn giao c«ng nghÖ</t>
  </si>
  <si>
    <t>Gi¸ vèn dÞch vô thiÕt kÕ Website</t>
  </si>
  <si>
    <t>Gi¸ vèn dÞch vô ®µo t¹o</t>
  </si>
  <si>
    <t>Doanh thu ho¹t ®éng tµi chÝnh</t>
  </si>
  <si>
    <t>L·i tiÒn göi</t>
  </si>
  <si>
    <t>Gãp vèn liªn doanh</t>
  </si>
  <si>
    <t>L·i chªnh lÖch tû gi¸ ®· thùc hiÖn</t>
  </si>
  <si>
    <t>L·i chªnh lÖch tû gi¸ ch­a thùc hiÖn</t>
  </si>
  <si>
    <t>L·i chuyÓn nh­îng cæ phÇn</t>
  </si>
  <si>
    <t>Chi phÝ tµi chÝnh</t>
  </si>
  <si>
    <t>Chi phÝ l·i vay</t>
  </si>
  <si>
    <t>Lç chªnh lÖch tû gi¸ ®· thùc hiÖn</t>
  </si>
  <si>
    <t>Lç chªnh lÖch tû gi¸ ch­a thùc hiÖn</t>
  </si>
  <si>
    <t>VIII.</t>
  </si>
  <si>
    <t>Nh÷ng th«ng tin kh¸c</t>
  </si>
  <si>
    <t>Nh÷ng kho¶n nî tiÒn tµng, kho¶n cam kÕt vµ nh÷ng th«ng tin tµi chÝnh kh¸c</t>
  </si>
  <si>
    <t>Nh÷ng sù kiÖn ph¸t sinh sau ngµy kÕt thóc kú kÕ to¸n</t>
  </si>
  <si>
    <t>Theo biªn b¶n häp ®¹i héi ®ång cæ ®«ng cña C«ng ty XXX ngµy XX/02/20X7, c«ng ty sÏ ®­îc chia cæ tøc lµ YYY ®ång (trong ®ã cæ tøc n¨m 20X5 lµ …. ®ång vµ cæ tøc n¨m 20X6 lµ … ®ång.</t>
  </si>
  <si>
    <t xml:space="preserve">Theo b¶ng niªm yÕt ngµy….. cña Trung t©m giao dÞch chøng kho¸n Hµ Néi th× gi¸ thÞ tr­êng cña cæ phiÕu BB (do C«ng ty  …. ph¸t hµnh) gi¶m xuèng cßn….. ®ång /01 cæ phiÕu, theo ®ã cã thÓ ¶nh h­ëng ®Õn c¸c kho¶n ®Çu t­ vµo C«ng ty liªn kÕt trong kú ho¹t ®éng </t>
  </si>
  <si>
    <t>Tr×nh bµy tµi s¶n, doanh thu, kÕt qu¶ kinh doanh theo bé phËn (theo lÜnh vùc kinh doanh hoÆc khu vùc ®Þa lý) theo quy ®Þnh cña ChuÈn mùc kÕ to¸n sè 28 "B¸o c¸o bé phËn"</t>
  </si>
  <si>
    <t>Th«ng tin vÒ ho¹t ®éng liªn tôc</t>
  </si>
  <si>
    <t>2.</t>
  </si>
  <si>
    <t>Ph¶i thu cña kh¸ch hµng</t>
  </si>
  <si>
    <t>Cty CP XNK vËt t­ thiÕt bÞ ®­êng s¾t</t>
  </si>
  <si>
    <t>C«ng ty §Çu t­ ph¸t triÓn s¶n xuÊt H¹ Long</t>
  </si>
  <si>
    <t>Tæng c«ng ty ViÔn th«ng qu©n ®éi Viettel</t>
  </si>
  <si>
    <t>C«ng ty dÞch vô viÔn th«ng Vinaphone</t>
  </si>
  <si>
    <t>C«ng ty Th«ng tin di ®éng VMS</t>
  </si>
  <si>
    <t>C«ng ty cæ phÇn H­¬ng Trµ</t>
  </si>
  <si>
    <t>C«ng ty CP ®Çu t­ x©y dùng NghÖ TÜnh</t>
  </si>
  <si>
    <t>Tr¶ tr­íc cho ng­êi b¸n</t>
  </si>
  <si>
    <t>B¸o Sµi Gßn Gi¶i phãng</t>
  </si>
  <si>
    <t>C«ng ty TNHH Xu©n Léc Thä</t>
  </si>
  <si>
    <t>C«ng ty TNHH SXTMDV §¹i Phó Trung</t>
  </si>
  <si>
    <t>C«ng ty CP truyÒn th«ng Vietnamnet</t>
  </si>
  <si>
    <t>C«ng ty APAVE ViÖt Nam vµ §«ng Nam  ¸</t>
  </si>
  <si>
    <t>C«ng ty TNHH T­ vÊn VFAM</t>
  </si>
  <si>
    <t>C«ng ty KiÓm to¸n vµ ®Þnh gi¸ ViÖt Nam</t>
  </si>
  <si>
    <t>C«ng ty CP Sara 425</t>
  </si>
  <si>
    <t>C«ng ty TNHH Chøng kho¸n NH C«ng th­¬ng VN</t>
  </si>
  <si>
    <t>2.3</t>
  </si>
  <si>
    <t>Tµi s¶n ng¾n h¹n kh¸c</t>
  </si>
  <si>
    <t>T¹m øng</t>
  </si>
  <si>
    <t>NguyÔn Quang CÇm</t>
  </si>
  <si>
    <t>2.4</t>
  </si>
  <si>
    <t>Ph¶i tr¶ ng­êi b¸n</t>
  </si>
  <si>
    <t>Cty CP VLXD MiÒn Trung</t>
  </si>
  <si>
    <t>§µi PT&amp;TH tØnh B¾c Ninh</t>
  </si>
  <si>
    <t>§µi PTTH Qu¶ng B×nh</t>
  </si>
  <si>
    <t>§µi PTTH Th¸i Nguyªn</t>
  </si>
  <si>
    <t>§µi PTTH H­ng Yªn</t>
  </si>
  <si>
    <t>§µi PTTH Qu¶ng Nam</t>
  </si>
  <si>
    <t>§µi PTTH Qu¶ng Ninh</t>
  </si>
  <si>
    <t>§µi PTTH Hµ TÜnh</t>
  </si>
  <si>
    <t>§µi PTTH Thõa ThiªnHuÕ</t>
  </si>
  <si>
    <t>§µi PTTH Hµ T©y</t>
  </si>
  <si>
    <t>§µi PTTH Hµ Nam</t>
  </si>
  <si>
    <t>§µi PTTH VÜnh Phóc</t>
  </si>
  <si>
    <t>§µi PTTH NghÖ An</t>
  </si>
  <si>
    <t>§µi PTTH Hoµ B×nh</t>
  </si>
  <si>
    <t>C«ng ty CP Delta</t>
  </si>
  <si>
    <t>C«ng ty CP ®Çu t­ XD 7</t>
  </si>
  <si>
    <t>Cty CPXD &amp;§T sè 1 NghÖ An</t>
  </si>
  <si>
    <t>TT KiÓm ®Þnh XD NghÖ An</t>
  </si>
  <si>
    <t>C«ng ty TNHH T©n Mü</t>
  </si>
  <si>
    <t>2.5</t>
  </si>
  <si>
    <t>Ng­êi mua tr¶ tiÒn tr­íc</t>
  </si>
  <si>
    <t>NguyÔn Minh Viªn</t>
  </si>
  <si>
    <t>TrÇn Kh¾c TÞnh</t>
  </si>
  <si>
    <t>NguyÔn ViÖt Hïng</t>
  </si>
  <si>
    <t>C«ng ty TN HH HuÖ Léc</t>
  </si>
  <si>
    <t>NguyÔn Träng ThÞnh</t>
  </si>
  <si>
    <t>Nghiªm ThÞ Thanh Xu©n</t>
  </si>
  <si>
    <t>Tæng liªn ®oµn lao ®éng ViÖt Nam</t>
  </si>
  <si>
    <t>Hµ néi Pank in Silk</t>
  </si>
  <si>
    <t>2.6</t>
  </si>
  <si>
    <t>Chi phÝ qu¶n lý doanh nghiÖp</t>
  </si>
  <si>
    <t>Chi phÝ nh©n viªn qu¶n lý</t>
  </si>
  <si>
    <t>Chi phÝ ®å dïng v¨n phßng</t>
  </si>
  <si>
    <t>Chi phÝ khÊu hao TSC§</t>
  </si>
  <si>
    <t>ThuÕ, phÝ vµ lÖ phÝ</t>
  </si>
  <si>
    <t>Chi phÝ dÞch vô mua ngoµi</t>
  </si>
  <si>
    <t>Chi phÝ b»ng tiÒn kh¸c</t>
  </si>
  <si>
    <t>2.7</t>
  </si>
  <si>
    <t>Mét sè chi tiªu tµi chÝnh</t>
  </si>
  <si>
    <t>ChØ tiªu</t>
  </si>
  <si>
    <t>§¬n vÞ tÝnh</t>
  </si>
  <si>
    <t>1. Bè trÝ c¬ cÊu tµi s¶n vµ c¬ cÊu vèn</t>
  </si>
  <si>
    <t>1.1 Bè trÝ c¬ cÊu tµi s¶n</t>
  </si>
  <si>
    <t xml:space="preserve"> - Tµi s¶n ng¾n h¹n/Tæng tµi s¶n</t>
  </si>
  <si>
    <t>%</t>
  </si>
  <si>
    <t xml:space="preserve"> - Tµi s¶n dµi h¹n/Tæng tµi s¶n</t>
  </si>
  <si>
    <t>1.2 Bè trÝ c¬ cÊu vèn</t>
  </si>
  <si>
    <t xml:space="preserve"> - Nî ph¶i tr¶/Tæng sè nguån vèn</t>
  </si>
  <si>
    <t xml:space="preserve"> - Nguån vèn chñ së h÷u/Tæng nguån vèn</t>
  </si>
  <si>
    <t>2. Kh¶ n¨ng thanh to¸n</t>
  </si>
  <si>
    <t>2.1 Kh¶ n¨ng thanh to¸n tæng qu¸t 
      (Tæng tµi s¶n/Nî ph¶i tr¶)</t>
  </si>
  <si>
    <t>LÇn</t>
  </si>
  <si>
    <t>2.2 Kh¶ n¨ng thanh to¸n nî ®Õn h¹n
      (Tµi s¶n ng¾n h¹n/Nî ng¾n h¹n)</t>
  </si>
  <si>
    <t>2.3 Kh¶ n¨ng thanh to¸n nhanh
      (TiÒn hiÖn cã/Nî ng¾n h¹n)</t>
  </si>
  <si>
    <t>3. Tû suÊt sinh lêi</t>
  </si>
  <si>
    <t>3.1 Tû suÊt sinh lêi trªn doanh thu</t>
  </si>
  <si>
    <t xml:space="preserve"> - Tû suÊt lîi nhuËn tr­íc thuÕ/Doanh thu</t>
  </si>
  <si>
    <t xml:space="preserve"> - Tû suÊt lîi nhuËn sau thuÕ/Doanh thu</t>
  </si>
  <si>
    <t>3.2 Tû suÊt lîi nhuËn trªn tæng tµi s¶n</t>
  </si>
  <si>
    <t xml:space="preserve"> - Tû suÊt lîi nhuËn tr­íc thuÕ/Tæng tµi s¶n</t>
  </si>
  <si>
    <t xml:space="preserve"> - Tû suÊt lîi nhuËn sau thuÕ/Tæng tµi s¶n</t>
  </si>
  <si>
    <t>3.3 Tû suÊt lîi nhuËn sau thuÕ trªn vèn chñ së h÷u</t>
  </si>
  <si>
    <t>Ng­êi lËp biÓu</t>
  </si>
  <si>
    <t>Gi¸m ®èc</t>
  </si>
  <si>
    <t>T¨ng, gi¶m tµi s¶n cè ®Þnh v« h×nh</t>
  </si>
  <si>
    <t>MÉu sè B 03 - DN</t>
  </si>
  <si>
    <t>B¸o c¸o l­u chuyÓn tiÒn tÖ</t>
  </si>
  <si>
    <t>&lt;Theo ph­¬ng ph¸p trùc tiÕp&gt;</t>
  </si>
  <si>
    <t>Stt</t>
  </si>
  <si>
    <t>M· 
sè</t>
  </si>
  <si>
    <t>ThuyÕt minh</t>
  </si>
  <si>
    <t>I</t>
  </si>
  <si>
    <t>L­u chuyÓn tiÒn tõ ho¹t ®éng kinh doanh</t>
  </si>
  <si>
    <t>TiÒn thu tõ b¸n hµng, cung cÊp dÞch vô vµ doanh thu kh¸c</t>
  </si>
  <si>
    <t>TiÒn chi tr¶ cho ng­êi cung cÊp hµng ho¸ vµ dÞch vô</t>
  </si>
  <si>
    <t>TiÒn chi tr¶ cho ng­êi lao ®éng</t>
  </si>
  <si>
    <t>03</t>
  </si>
  <si>
    <t>TiÒn chi tr¶ l·i vay</t>
  </si>
  <si>
    <t>04</t>
  </si>
  <si>
    <t>TiÒn chi nép thuÕ thu nhËp doanh nghiÖp</t>
  </si>
  <si>
    <t>05</t>
  </si>
  <si>
    <t>TiÒn thu kh¸c tõ ho¹t ®éng kinh doanh</t>
  </si>
  <si>
    <t>06</t>
  </si>
  <si>
    <t>TiÒn chi kh¸c cho ho¹t ®éng kinh doanh</t>
  </si>
  <si>
    <t>07</t>
  </si>
  <si>
    <t>II</t>
  </si>
  <si>
    <t>L­u chuyÓn tiÒn tõ ho¹t ®éng ®Çu t­</t>
  </si>
  <si>
    <t>TiÒn chi ®Ó mua s¾m, x©y dùng TSC§ vµ c¸c tµi s¶n dµi h¹n kh¸c</t>
  </si>
  <si>
    <t>TiÒn thu tõ thanh lý, nh­îng b¸n TSC§ vµ c¸c tµi s¶n dµi h¹n kh¸c</t>
  </si>
  <si>
    <t xml:space="preserve">TiÒn chi cho vay, mua c¸c c«ng cô nî cña ®¬n vÞ kh¸c </t>
  </si>
  <si>
    <t>TiÒn thu håi cho vay, b¸n l¹i c¸c c«ng cô nî cña ®¬n vÞ kh¸c</t>
  </si>
  <si>
    <t>kh¸c</t>
  </si>
  <si>
    <t>TiÒn chi ®Çu t­ gãp vèn vµo ®¬n vÞ kh¸c</t>
  </si>
  <si>
    <t>TiÒn thu håi ®Çu t­ gãp vèn vµo c¸c ®¬n vÞ kh¸c</t>
  </si>
  <si>
    <t>26</t>
  </si>
  <si>
    <t xml:space="preserve">TiÒn thu l·i cho vay, cæ tøc vµ lîi nhuËn ®­îc chia </t>
  </si>
  <si>
    <t>27</t>
  </si>
  <si>
    <t>L­u chuyÓn tiÒn thuÇn tõ ho¹t ®éng ®Çu t­</t>
  </si>
  <si>
    <t>III</t>
  </si>
  <si>
    <t>L­u chuyÓn tiÒn tõ ho¹t ®éng tµi chÝnh</t>
  </si>
  <si>
    <t>TiÒn thu tõ ph¸t hµnh cæ phiÕu, nhËn vèn gãp cña chñ së h÷u</t>
  </si>
  <si>
    <t>TiÒn chi tr¶ vèn gãp cho c¸c chñ së h÷u,  mua l¹i cæ phiÕu cña doanh nghiÖp ®· ph¸t hµnh</t>
  </si>
  <si>
    <t xml:space="preserve">TiÒn vay ng¾n h¹n, dµi h¹n nhËn ®­îc  </t>
  </si>
  <si>
    <t>TiÒn chi tr¶ nî gèc vay</t>
  </si>
  <si>
    <t>TiÒn chi tr¶ nî thuª tµi chÝnh</t>
  </si>
  <si>
    <t>Cæ tøc, lîi nhuËn ®· tr¶ cho chñ së h÷u</t>
  </si>
  <si>
    <t>L­u chuyÓn tiÒn thuÇn tõ ho¹t ®éng tµi chÝnh</t>
  </si>
  <si>
    <t>L­u chuyÓn tiÒn thuÇn trong kú (20+30+40)</t>
  </si>
  <si>
    <t>TiÒn vµ t­¬ng ®­¬ng tiÒn ®Çu kú</t>
  </si>
  <si>
    <t>61</t>
  </si>
  <si>
    <t>TiÒn vµ t­¬ng ®­¬ng tiÒn cuèi kú (50+60+61)</t>
  </si>
  <si>
    <t>V.1</t>
  </si>
  <si>
    <t>CN b¶o vÖ Sara 135</t>
  </si>
  <si>
    <t>C«ng ty CP truyÒn th«ng Sara</t>
  </si>
  <si>
    <t>Vay TrÇn ThÞ H­¬ng</t>
  </si>
  <si>
    <t>Vay C«ng ty CP Sara</t>
  </si>
  <si>
    <t>C¸c cæ ®«ng kh¸c</t>
  </si>
  <si>
    <t>Cho quÝ 4 n¨m tµi chÝnh 2007</t>
  </si>
  <si>
    <t>Ngày 31 th¸ng 12 N¨m 2007</t>
  </si>
  <si>
    <t>L­u chuyÓn tiÒn thuÇn tõ ho¹t ®éng kinh doanh</t>
  </si>
  <si>
    <t>9 th¸ng ®Çu n¨m</t>
  </si>
  <si>
    <t>quý IV</t>
  </si>
  <si>
    <t>Hµ Néi, ngµy 01 th¸ng 02 n¨m 2008</t>
  </si>
  <si>
    <t>Nguyễn Anh TuÊn</t>
  </si>
  <si>
    <t>Cho quý 4 n¨m tµi chÝnh 2007</t>
  </si>
  <si>
    <t>Tõ ngày 01th¸ng 10 ®Õn  ngµy 31 th¸ng 12 n¨m 2007</t>
  </si>
  <si>
    <t>Hµ néi ngµy 01 th¸ng 02 n¨m 2008</t>
  </si>
  <si>
    <t>T¹i 01/10/2007</t>
  </si>
  <si>
    <t>T¹i 31/12/2007</t>
  </si>
  <si>
    <t>Sè d­ ngµy 01/10/2007</t>
  </si>
  <si>
    <t>Sè d­ ngµy 31/12/2007</t>
  </si>
  <si>
    <t>T¹i ngµy 01/10/2007</t>
  </si>
  <si>
    <t>T¹i ngµy 31/12/2007</t>
  </si>
  <si>
    <t>01/010/2007</t>
  </si>
  <si>
    <t>Sè d­ t¹i ngµy 31/12/2007</t>
  </si>
  <si>
    <t>Quý 4 n¨m 2007</t>
  </si>
  <si>
    <t>DT ho¹t ®éng chuyÓn giao c«ng nghÖ, PhÇn mÒm</t>
  </si>
  <si>
    <t>§inh ThÞ Ngäc Loan</t>
  </si>
  <si>
    <t>Trung t©m thanh thiÕu niªn (VTV)</t>
  </si>
  <si>
    <t>Héi tin häc ViÖt Nam</t>
  </si>
  <si>
    <t>CT CP XD CN TM Sara</t>
  </si>
  <si>
    <t>CT CP Sara 425</t>
  </si>
  <si>
    <t>CTCP ViÔn th«ng Sara</t>
  </si>
  <si>
    <t>CT CP TB tæng hîp m¸y v¨n phßng</t>
  </si>
  <si>
    <t xml:space="preserve">CT CP ®Çu t­ CK Sara </t>
  </si>
  <si>
    <t>NguyÔn Anh Tuấn</t>
  </si>
  <si>
    <t>ThuÕ VAT ®Çu ra SMS t¹m treo</t>
  </si>
  <si>
    <t>KhÊu hao trong kỳ</t>
  </si>
  <si>
    <t>§µi PTTH B¾c C¹n</t>
  </si>
  <si>
    <t>§µi PTTH Qu¶ng TrÞ</t>
  </si>
  <si>
    <t>§µi PTTH B×nh D­¬ng</t>
  </si>
  <si>
    <t>C«ng ty C«ng nghÖ TB &amp; KiÓm ®Þnh XD CONINCO</t>
  </si>
  <si>
    <t>C«ng ty CP §T XD Sara 425</t>
  </si>
  <si>
    <t>C«ng ty CP§T XD C«ng nghÖ TM Sara</t>
  </si>
  <si>
    <t>Công ty liªn doanh nÒn mãng vµ c«ng tr×nh</t>
  </si>
  <si>
    <t>C«ng ty TNHH LG Electronic ViÖt Nam</t>
  </si>
  <si>
    <t>CN c«ng ty cæ phÇn thang m¸y thiªn nam</t>
  </si>
  <si>
    <t>C«ng ty CP §T XD c«ng nghÖ TM Sara</t>
  </si>
  <si>
    <t>Kh¸c</t>
  </si>
  <si>
    <t>Công ty cổ phần ĐT Sara 425</t>
  </si>
  <si>
    <r>
      <t xml:space="preserve"> ¶</t>
    </r>
    <r>
      <rPr>
        <sz val="10"/>
        <rFont val=".VnTime"/>
        <family val="2"/>
      </rPr>
      <t>nh h­ëng cña thay ®æi tû gi¸ hèi ®o¸i quy ®æi ngo¹i tÖ</t>
    </r>
  </si>
  <si>
    <t>CÔNG TY CỔ PHẦN SARA VIET NAM</t>
  </si>
  <si>
    <t>SRA BCTC.xls</t>
  </si>
  <si>
    <t>CTY CBTT.xls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</si>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</sst>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#,##0;\-#,##0;\-"/>
    <numFmt numFmtId="167" formatCode="_-* #,##0_-;\-* #,##0_-;_-* &quot;-&quot;_-;_-@_-"/>
    <numFmt numFmtId="168" formatCode="_-* #,##0.00_-;\-* #,##0.00_-;_-* &quot;-&quot;??_-;_-@_-"/>
    <numFmt numFmtId="169" formatCode="#,##0\ &quot;DM&quot;;\-#,##0\ &quot;DM&quot;"/>
    <numFmt numFmtId="170" formatCode="0.000%"/>
    <numFmt numFmtId="171" formatCode="&quot;￥&quot;#,##0;&quot;￥&quot;\-#,##0"/>
    <numFmt numFmtId="172" formatCode="00.000"/>
    <numFmt numFmtId="173" formatCode="_-&quot;$&quot;* #,##0_-;\-&quot;$&quot;* #,##0_-;_-&quot;$&quot;* &quot;-&quot;_-;_-@_-"/>
    <numFmt numFmtId="174" formatCode="_-&quot;$&quot;* #,##0.00_-;\-&quot;$&quot;* #,##0.00_-;_-&quot;$&quot;* &quot;-&quot;??_-;_-@_-"/>
    <numFmt numFmtId="175" formatCode="_(* #,##0.0000000_);_(* \(#,##0.0000000\);_(* &quot;-&quot;??_);_(@_)"/>
    <numFmt numFmtId="176" formatCode="_(* #,##0.00000_);_(* \(#,##0.00000\);_(* &quot;-&quot;??_);_(@_)"/>
    <numFmt numFmtId="177" formatCode="0.000"/>
    <numFmt numFmtId="178" formatCode="_(* #,##0.0_);_(* \(#,##0.0\);_(* &quot;-&quot;??_);_(@_)"/>
    <numFmt numFmtId="179" formatCode="_(* #,##0.0000000000000_);_(* \(#,##0.0000000000000\);_(* &quot;-&quot;?????????????_);_(@_)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0.0"/>
    <numFmt numFmtId="189" formatCode="0.0%"/>
    <numFmt numFmtId="190" formatCode="_(* #,##0.0_);_(* \(#,##0.0\);_(* &quot;-&quot;?_);_(@_)"/>
    <numFmt numFmtId="191" formatCode="_(* #,##0.0000_);_(* \(#,##0.0000\);_(* &quot;-&quot;??_);_(@_)"/>
    <numFmt numFmtId="192" formatCode="mm/dd/yy"/>
    <numFmt numFmtId="193" formatCode="d/m"/>
    <numFmt numFmtId="194" formatCode="mmm\-yyyy"/>
    <numFmt numFmtId="195" formatCode="_(* #,##0.000_);_(* \(#,##0.000\);_(* &quot;-&quot;???_);_(@_)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00000"/>
    <numFmt numFmtId="199" formatCode="#,##0.00;[Red]#,##0.00"/>
    <numFmt numFmtId="200" formatCode="0.00;[Red]0.00"/>
    <numFmt numFmtId="201" formatCode="mm/yyyy"/>
    <numFmt numFmtId="202" formatCode="d/m/yyyy"/>
    <numFmt numFmtId="203" formatCode="_(* #,##0.000000_);_(* \(#,##0.000000\);_(* &quot;-&quot;??_);_(@_)"/>
    <numFmt numFmtId="204" formatCode="_(* #,##0.00000000_);_(* \(#,##0.00000000\);_(* &quot;-&quot;??_);_(@_)"/>
    <numFmt numFmtId="205" formatCode="_(* #,##0.000000000_);_(* \(#,##0.000000000\);_(* &quot;-&quot;??_);_(@_)"/>
  </numFmts>
  <fonts count="6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i/>
      <sz val="1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b/>
      <sz val="11"/>
      <name val=".VnTimeH"/>
      <family val="2"/>
    </font>
    <font>
      <sz val="11"/>
      <name val="Arial"/>
      <family val="2"/>
    </font>
    <font>
      <sz val="11"/>
      <name val=".VnTime"/>
      <family val="2"/>
    </font>
    <font>
      <i/>
      <sz val="11"/>
      <name val=".VnTime"/>
      <family val="2"/>
    </font>
    <font>
      <b/>
      <sz val="11"/>
      <name val=".VnTime"/>
      <family val="2"/>
    </font>
    <font>
      <b/>
      <sz val="12"/>
      <name val=".VnTimeH"/>
      <family val="2"/>
    </font>
    <font>
      <sz val="10"/>
      <name val=".VnTime"/>
      <family val="2"/>
    </font>
    <font>
      <i/>
      <sz val="10"/>
      <name val=".VnTime"/>
      <family val="2"/>
    </font>
    <font>
      <b/>
      <sz val="9"/>
      <name val=".VnTimeH"/>
      <family val="2"/>
    </font>
    <font>
      <b/>
      <sz val="8"/>
      <name val=".VnTimeH"/>
      <family val="2"/>
    </font>
    <font>
      <b/>
      <sz val="9"/>
      <color indexed="10"/>
      <name val=".VnTime"/>
      <family val="2"/>
    </font>
    <font>
      <b/>
      <sz val="10"/>
      <name val=".VnTime"/>
      <family val="2"/>
    </font>
    <font>
      <sz val="10"/>
      <color indexed="10"/>
      <name val=".VnTime"/>
      <family val="2"/>
    </font>
    <font>
      <b/>
      <sz val="10"/>
      <name val=".VnTimeH"/>
      <family val="2"/>
    </font>
    <font>
      <b/>
      <sz val="10"/>
      <color indexed="10"/>
      <name val=".VnTimeH"/>
      <family val="2"/>
    </font>
    <font>
      <sz val="9"/>
      <name val=".VnTimeH"/>
      <family val="2"/>
    </font>
    <font>
      <sz val="9"/>
      <color indexed="8"/>
      <name val="Arial"/>
      <family val="0"/>
    </font>
    <font>
      <b/>
      <i/>
      <sz val="10"/>
      <name val=".VnTime"/>
      <family val="2"/>
    </font>
    <font>
      <b/>
      <i/>
      <sz val="10"/>
      <color indexed="10"/>
      <name val=".VnTime"/>
      <family val="2"/>
    </font>
    <font>
      <i/>
      <sz val="6"/>
      <name val="Arial"/>
      <family val="2"/>
    </font>
    <font>
      <sz val="6"/>
      <name val="Arial"/>
      <family val="2"/>
    </font>
    <font>
      <b/>
      <sz val="6"/>
      <name val=".VnTime"/>
      <family val="2"/>
    </font>
    <font>
      <b/>
      <i/>
      <sz val="11"/>
      <name val=".VnTime"/>
      <family val="2"/>
    </font>
    <font>
      <b/>
      <i/>
      <sz val="6"/>
      <name val=".VnTime"/>
      <family val="2"/>
    </font>
    <font>
      <i/>
      <sz val="10"/>
      <color indexed="10"/>
      <name val=".VnTime"/>
      <family val="2"/>
    </font>
    <font>
      <b/>
      <sz val="10"/>
      <color indexed="10"/>
      <name val=".VnTime"/>
      <family val="2"/>
    </font>
    <font>
      <sz val="10"/>
      <name val=".VnTimeH"/>
      <family val="2"/>
    </font>
    <font>
      <sz val="12"/>
      <name val=".VnTime"/>
      <family val="0"/>
    </font>
    <font>
      <b/>
      <sz val="11"/>
      <color indexed="10"/>
      <name val=".VnTime"/>
      <family val="2"/>
    </font>
    <font>
      <sz val="11"/>
      <color indexed="10"/>
      <name val=".VnTime"/>
      <family val="2"/>
    </font>
    <font>
      <b/>
      <i/>
      <sz val="11"/>
      <color indexed="10"/>
      <name val=".VnTime"/>
      <family val="2"/>
    </font>
    <font>
      <i/>
      <sz val="11"/>
      <color indexed="10"/>
      <name val=".VnTime"/>
      <family val="2"/>
    </font>
    <font>
      <sz val="11"/>
      <name val=".VnTimeH"/>
      <family val="2"/>
    </font>
    <font>
      <sz val="11"/>
      <color indexed="10"/>
      <name val="Arial"/>
      <family val="0"/>
    </font>
    <font>
      <sz val="10"/>
      <color indexed="10"/>
      <name val="Arial"/>
      <family val="0"/>
    </font>
    <font>
      <b/>
      <sz val="11"/>
      <color indexed="10"/>
      <name val=".VnTimeH"/>
      <family val="2"/>
    </font>
    <font>
      <sz val="11"/>
      <color indexed="52"/>
      <name val=".VnTime"/>
      <family val="2"/>
    </font>
    <font>
      <u val="single"/>
      <sz val="14"/>
      <color indexed="36"/>
      <name val=".VnTime"/>
      <family val="0"/>
    </font>
    <font>
      <u val="single"/>
      <sz val="14"/>
      <color indexed="12"/>
      <name val=".VnTime"/>
      <family val="0"/>
    </font>
    <font>
      <sz val="14"/>
      <name val=".VnTime"/>
      <family val="0"/>
    </font>
    <font>
      <sz val="10"/>
      <name val="돋움"/>
      <family val="3"/>
    </font>
    <font>
      <b/>
      <sz val="10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9" fontId="0" fillId="0" borderId="0" applyFont="0" applyFill="0" applyBorder="0" applyAlignment="0" applyProtection="0"/>
    <xf numFmtId="40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167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9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173" fontId="17" fillId="0" borderId="0" applyFont="0" applyFill="0" applyBorder="0" applyAlignment="0" applyProtection="0"/>
    <xf numFmtId="174" fontId="17" fillId="0" borderId="0" applyFont="0" applyFill="0" applyBorder="0" applyAlignment="0" applyProtection="0"/>
  </cellStyleXfs>
  <cellXfs count="6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37" fontId="6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37" fontId="6" fillId="0" borderId="5" xfId="0" applyNumberFormat="1" applyFont="1" applyBorder="1" applyAlignment="1">
      <alignment/>
    </xf>
    <xf numFmtId="0" fontId="5" fillId="0" borderId="5" xfId="0" applyFont="1" applyBorder="1" applyAlignment="1">
      <alignment/>
    </xf>
    <xf numFmtId="37" fontId="5" fillId="0" borderId="5" xfId="0" applyNumberFormat="1" applyFont="1" applyBorder="1" applyAlignment="1">
      <alignment/>
    </xf>
    <xf numFmtId="0" fontId="1" fillId="0" borderId="5" xfId="0" applyFont="1" applyBorder="1" applyAlignment="1">
      <alignment/>
    </xf>
    <xf numFmtId="43" fontId="6" fillId="0" borderId="5" xfId="15" applyFont="1" applyBorder="1" applyAlignment="1">
      <alignment/>
    </xf>
    <xf numFmtId="164" fontId="6" fillId="0" borderId="5" xfId="15" applyNumberFormat="1" applyFont="1" applyBorder="1" applyAlignment="1">
      <alignment/>
    </xf>
    <xf numFmtId="164" fontId="5" fillId="0" borderId="5" xfId="15" applyNumberFormat="1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37" fontId="5" fillId="0" borderId="6" xfId="0" applyNumberFormat="1" applyFont="1" applyBorder="1" applyAlignment="1">
      <alignment/>
    </xf>
    <xf numFmtId="164" fontId="0" fillId="0" borderId="6" xfId="15" applyNumberForma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37" fontId="0" fillId="0" borderId="0" xfId="0" applyNumberFormat="1" applyAlignment="1">
      <alignment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/>
    </xf>
    <xf numFmtId="0" fontId="9" fillId="0" borderId="4" xfId="0" applyFont="1" applyBorder="1" applyAlignment="1">
      <alignment/>
    </xf>
    <xf numFmtId="0" fontId="8" fillId="0" borderId="5" xfId="0" applyFont="1" applyBorder="1" applyAlignment="1">
      <alignment/>
    </xf>
    <xf numFmtId="37" fontId="8" fillId="0" borderId="5" xfId="0" applyNumberFormat="1" applyFont="1" applyBorder="1" applyAlignment="1">
      <alignment/>
    </xf>
    <xf numFmtId="0" fontId="9" fillId="0" borderId="5" xfId="0" applyFont="1" applyBorder="1" applyAlignment="1">
      <alignment/>
    </xf>
    <xf numFmtId="37" fontId="10" fillId="0" borderId="5" xfId="0" applyNumberFormat="1" applyFont="1" applyBorder="1" applyAlignment="1">
      <alignment/>
    </xf>
    <xf numFmtId="0" fontId="9" fillId="0" borderId="5" xfId="0" applyFont="1" applyBorder="1" applyAlignment="1">
      <alignment horizontal="left"/>
    </xf>
    <xf numFmtId="164" fontId="10" fillId="0" borderId="5" xfId="15" applyNumberFormat="1" applyFont="1" applyBorder="1" applyAlignment="1">
      <alignment/>
    </xf>
    <xf numFmtId="0" fontId="10" fillId="0" borderId="5" xfId="0" applyFont="1" applyBorder="1" applyAlignment="1">
      <alignment/>
    </xf>
    <xf numFmtId="164" fontId="8" fillId="0" borderId="5" xfId="15" applyNumberFormat="1" applyFont="1" applyBorder="1" applyAlignment="1">
      <alignment/>
    </xf>
    <xf numFmtId="43" fontId="10" fillId="0" borderId="5" xfId="15" applyFont="1" applyBorder="1" applyAlignment="1">
      <alignment/>
    </xf>
    <xf numFmtId="0" fontId="9" fillId="0" borderId="5" xfId="0" applyFont="1" applyBorder="1" applyAlignment="1" quotePrefix="1">
      <alignment/>
    </xf>
    <xf numFmtId="43" fontId="8" fillId="0" borderId="5" xfId="15" applyFont="1" applyBorder="1" applyAlignment="1">
      <alignment/>
    </xf>
    <xf numFmtId="165" fontId="10" fillId="0" borderId="5" xfId="15" applyNumberFormat="1" applyFont="1" applyBorder="1" applyAlignment="1">
      <alignment/>
    </xf>
    <xf numFmtId="0" fontId="8" fillId="0" borderId="7" xfId="0" applyFont="1" applyBorder="1" applyAlignment="1">
      <alignment/>
    </xf>
    <xf numFmtId="37" fontId="8" fillId="0" borderId="7" xfId="0" applyNumberFormat="1" applyFont="1" applyBorder="1" applyAlignment="1">
      <alignment/>
    </xf>
    <xf numFmtId="0" fontId="9" fillId="0" borderId="0" xfId="0" applyFont="1" applyBorder="1" applyAlignment="1">
      <alignment/>
    </xf>
    <xf numFmtId="43" fontId="9" fillId="0" borderId="0" xfId="15" applyFont="1" applyBorder="1" applyAlignment="1">
      <alignment vertical="top"/>
    </xf>
    <xf numFmtId="0" fontId="8" fillId="0" borderId="8" xfId="0" applyFont="1" applyBorder="1" applyAlignment="1">
      <alignment/>
    </xf>
    <xf numFmtId="0" fontId="9" fillId="0" borderId="8" xfId="0" applyFont="1" applyBorder="1" applyAlignment="1">
      <alignment/>
    </xf>
    <xf numFmtId="0" fontId="8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/>
    </xf>
    <xf numFmtId="43" fontId="10" fillId="0" borderId="7" xfId="15" applyFont="1" applyBorder="1" applyAlignment="1">
      <alignment/>
    </xf>
    <xf numFmtId="0" fontId="7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/>
    </xf>
    <xf numFmtId="164" fontId="0" fillId="0" borderId="0" xfId="15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164" fontId="1" fillId="0" borderId="0" xfId="15" applyNumberFormat="1" applyFont="1" applyFill="1" applyAlignment="1">
      <alignment horizontal="center"/>
    </xf>
    <xf numFmtId="164" fontId="1" fillId="0" borderId="0" xfId="15" applyNumberFormat="1" applyFont="1" applyFill="1" applyBorder="1" applyAlignment="1">
      <alignment horizontal="center"/>
    </xf>
    <xf numFmtId="164" fontId="1" fillId="0" borderId="11" xfId="15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/>
    </xf>
    <xf numFmtId="37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37" fontId="6" fillId="0" borderId="13" xfId="0" applyNumberFormat="1" applyFont="1" applyBorder="1" applyAlignment="1">
      <alignment/>
    </xf>
    <xf numFmtId="0" fontId="5" fillId="0" borderId="13" xfId="0" applyFont="1" applyBorder="1" applyAlignment="1">
      <alignment/>
    </xf>
    <xf numFmtId="37" fontId="5" fillId="0" borderId="13" xfId="0" applyNumberFormat="1" applyFont="1" applyBorder="1" applyAlignment="1">
      <alignment/>
    </xf>
    <xf numFmtId="0" fontId="5" fillId="0" borderId="14" xfId="0" applyFont="1" applyBorder="1" applyAlignment="1">
      <alignment/>
    </xf>
    <xf numFmtId="37" fontId="5" fillId="0" borderId="14" xfId="0" applyNumberFormat="1" applyFont="1" applyBorder="1" applyAlignment="1">
      <alignment/>
    </xf>
    <xf numFmtId="166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37" fontId="5" fillId="0" borderId="11" xfId="0" applyNumberFormat="1" applyFont="1" applyBorder="1" applyAlignment="1">
      <alignment/>
    </xf>
    <xf numFmtId="0" fontId="20" fillId="0" borderId="0" xfId="0" applyFont="1" applyAlignment="1">
      <alignment/>
    </xf>
    <xf numFmtId="164" fontId="21" fillId="0" borderId="0" xfId="15" applyNumberFormat="1" applyFont="1" applyAlignment="1">
      <alignment/>
    </xf>
    <xf numFmtId="164" fontId="20" fillId="2" borderId="0" xfId="15" applyNumberFormat="1" applyFont="1" applyFill="1" applyAlignment="1">
      <alignment horizontal="right"/>
    </xf>
    <xf numFmtId="164" fontId="21" fillId="0" borderId="0" xfId="15" applyNumberFormat="1" applyFont="1" applyFill="1" applyAlignment="1">
      <alignment/>
    </xf>
    <xf numFmtId="0" fontId="22" fillId="0" borderId="0" xfId="0" applyFont="1" applyAlignment="1">
      <alignment/>
    </xf>
    <xf numFmtId="164" fontId="23" fillId="2" borderId="0" xfId="15" applyNumberFormat="1" applyFont="1" applyFill="1" applyAlignment="1">
      <alignment horizontal="right"/>
    </xf>
    <xf numFmtId="164" fontId="22" fillId="0" borderId="0" xfId="15" applyNumberFormat="1" applyFont="1" applyAlignment="1">
      <alignment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2" borderId="0" xfId="0" applyFont="1" applyFill="1" applyAlignment="1">
      <alignment horizontal="right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164" fontId="21" fillId="0" borderId="0" xfId="15" applyNumberFormat="1" applyFont="1" applyBorder="1" applyAlignment="1">
      <alignment/>
    </xf>
    <xf numFmtId="164" fontId="21" fillId="2" borderId="0" xfId="15" applyNumberFormat="1" applyFont="1" applyFill="1" applyBorder="1" applyAlignment="1">
      <alignment/>
    </xf>
    <xf numFmtId="164" fontId="24" fillId="2" borderId="0" xfId="15" applyNumberFormat="1" applyFont="1" applyFill="1" applyBorder="1" applyAlignment="1">
      <alignment horizontal="right"/>
    </xf>
    <xf numFmtId="164" fontId="0" fillId="0" borderId="0" xfId="15" applyNumberFormat="1" applyFont="1" applyFill="1" applyAlignment="1">
      <alignment/>
    </xf>
    <xf numFmtId="164" fontId="26" fillId="0" borderId="0" xfId="15" applyNumberFormat="1" applyFont="1" applyAlignment="1">
      <alignment/>
    </xf>
    <xf numFmtId="164" fontId="0" fillId="0" borderId="0" xfId="15" applyNumberFormat="1" applyFont="1" applyAlignment="1">
      <alignment/>
    </xf>
    <xf numFmtId="164" fontId="27" fillId="0" borderId="0" xfId="15" applyNumberFormat="1" applyFont="1" applyAlignment="1">
      <alignment horizontal="right"/>
    </xf>
    <xf numFmtId="164" fontId="0" fillId="0" borderId="0" xfId="15" applyNumberFormat="1" applyFont="1" applyAlignment="1">
      <alignment horizontal="right"/>
    </xf>
    <xf numFmtId="164" fontId="0" fillId="2" borderId="0" xfId="15" applyNumberFormat="1" applyFont="1" applyFill="1" applyAlignment="1">
      <alignment horizontal="right"/>
    </xf>
    <xf numFmtId="164" fontId="26" fillId="0" borderId="0" xfId="15" applyNumberFormat="1" applyFont="1" applyBorder="1" applyAlignment="1">
      <alignment/>
    </xf>
    <xf numFmtId="164" fontId="0" fillId="0" borderId="0" xfId="15" applyNumberFormat="1" applyFont="1" applyBorder="1" applyAlignment="1">
      <alignment/>
    </xf>
    <xf numFmtId="164" fontId="28" fillId="0" borderId="0" xfId="15" applyNumberFormat="1" applyFont="1" applyBorder="1" applyAlignment="1">
      <alignment horizontal="center"/>
    </xf>
    <xf numFmtId="164" fontId="9" fillId="0" borderId="0" xfId="15" applyNumberFormat="1" applyFont="1" applyBorder="1" applyAlignment="1">
      <alignment/>
    </xf>
    <xf numFmtId="164" fontId="28" fillId="0" borderId="0" xfId="15" applyNumberFormat="1" applyFont="1" applyBorder="1" applyAlignment="1">
      <alignment horizontal="center" wrapText="1"/>
    </xf>
    <xf numFmtId="2" fontId="29" fillId="0" borderId="0" xfId="15" applyNumberFormat="1" applyFont="1" applyBorder="1" applyAlignment="1">
      <alignment horizontal="center" wrapText="1"/>
    </xf>
    <xf numFmtId="2" fontId="28" fillId="0" borderId="0" xfId="15" applyNumberFormat="1" applyFont="1" applyBorder="1" applyAlignment="1">
      <alignment horizontal="center" wrapText="1"/>
    </xf>
    <xf numFmtId="164" fontId="30" fillId="0" borderId="0" xfId="15" applyNumberFormat="1" applyFont="1" applyBorder="1" applyAlignment="1">
      <alignment horizontal="center"/>
    </xf>
    <xf numFmtId="164" fontId="28" fillId="2" borderId="0" xfId="15" applyNumberFormat="1" applyFont="1" applyFill="1" applyBorder="1" applyAlignment="1">
      <alignment horizontal="center" wrapText="1"/>
    </xf>
    <xf numFmtId="164" fontId="0" fillId="0" borderId="0" xfId="15" applyNumberFormat="1" applyFont="1" applyFill="1" applyAlignment="1">
      <alignment/>
    </xf>
    <xf numFmtId="164" fontId="26" fillId="0" borderId="0" xfId="15" applyNumberFormat="1" applyFont="1" applyBorder="1" applyAlignment="1">
      <alignment/>
    </xf>
    <xf numFmtId="164" fontId="0" fillId="0" borderId="0" xfId="15" applyNumberFormat="1" applyFont="1" applyBorder="1" applyAlignment="1">
      <alignment/>
    </xf>
    <xf numFmtId="164" fontId="26" fillId="0" borderId="0" xfId="15" applyNumberFormat="1" applyFont="1" applyAlignment="1">
      <alignment horizontal="center"/>
    </xf>
    <xf numFmtId="164" fontId="31" fillId="0" borderId="0" xfId="15" applyNumberFormat="1" applyFont="1" applyAlignment="1">
      <alignment/>
    </xf>
    <xf numFmtId="164" fontId="26" fillId="0" borderId="0" xfId="15" applyNumberFormat="1" applyFont="1" applyBorder="1" applyAlignment="1">
      <alignment horizontal="center"/>
    </xf>
    <xf numFmtId="164" fontId="32" fillId="0" borderId="0" xfId="15" applyNumberFormat="1" applyFont="1" applyBorder="1" applyAlignment="1">
      <alignment/>
    </xf>
    <xf numFmtId="164" fontId="26" fillId="2" borderId="0" xfId="15" applyNumberFormat="1" applyFont="1" applyFill="1" applyAlignment="1">
      <alignment/>
    </xf>
    <xf numFmtId="164" fontId="26" fillId="0" borderId="0" xfId="15" applyNumberFormat="1" applyFont="1" applyFill="1" applyAlignment="1">
      <alignment/>
    </xf>
    <xf numFmtId="164" fontId="33" fillId="0" borderId="0" xfId="15" applyNumberFormat="1" applyFont="1" applyAlignment="1">
      <alignment horizontal="center"/>
    </xf>
    <xf numFmtId="164" fontId="33" fillId="0" borderId="0" xfId="15" applyNumberFormat="1" applyFont="1" applyAlignment="1">
      <alignment/>
    </xf>
    <xf numFmtId="49" fontId="31" fillId="0" borderId="0" xfId="15" applyNumberFormat="1" applyFont="1" applyAlignment="1">
      <alignment horizontal="left"/>
    </xf>
    <xf numFmtId="164" fontId="33" fillId="0" borderId="0" xfId="15" applyNumberFormat="1" applyFont="1" applyBorder="1" applyAlignment="1">
      <alignment/>
    </xf>
    <xf numFmtId="164" fontId="34" fillId="0" borderId="0" xfId="15" applyNumberFormat="1" applyFont="1" applyBorder="1" applyAlignment="1">
      <alignment/>
    </xf>
    <xf numFmtId="164" fontId="33" fillId="2" borderId="0" xfId="15" applyNumberFormat="1" applyFont="1" applyFill="1" applyAlignment="1">
      <alignment/>
    </xf>
    <xf numFmtId="164" fontId="28" fillId="0" borderId="0" xfId="15" applyNumberFormat="1" applyFont="1" applyFill="1" applyAlignment="1">
      <alignment/>
    </xf>
    <xf numFmtId="164" fontId="28" fillId="0" borderId="0" xfId="15" applyNumberFormat="1" applyFont="1" applyBorder="1" applyAlignment="1" quotePrefix="1">
      <alignment/>
    </xf>
    <xf numFmtId="164" fontId="35" fillId="0" borderId="0" xfId="15" applyNumberFormat="1" applyFont="1" applyBorder="1" applyAlignment="1">
      <alignment/>
    </xf>
    <xf numFmtId="164" fontId="28" fillId="0" borderId="0" xfId="15" applyNumberFormat="1" applyFont="1" applyBorder="1" applyAlignment="1">
      <alignment/>
    </xf>
    <xf numFmtId="164" fontId="26" fillId="0" borderId="0" xfId="15" applyNumberFormat="1" applyFont="1" applyAlignment="1">
      <alignment horizontal="left"/>
    </xf>
    <xf numFmtId="164" fontId="26" fillId="0" borderId="0" xfId="15" applyNumberFormat="1" applyFont="1" applyAlignment="1">
      <alignment horizontal="right"/>
    </xf>
    <xf numFmtId="164" fontId="32" fillId="0" borderId="0" xfId="15" applyNumberFormat="1" applyFont="1" applyAlignment="1">
      <alignment/>
    </xf>
    <xf numFmtId="164" fontId="26" fillId="2" borderId="0" xfId="15" applyNumberFormat="1" applyFont="1" applyFill="1" applyAlignment="1">
      <alignment horizontal="right"/>
    </xf>
    <xf numFmtId="164" fontId="26" fillId="0" borderId="0" xfId="15" applyNumberFormat="1" applyFont="1" applyAlignment="1">
      <alignment horizontal="center" vertical="top"/>
    </xf>
    <xf numFmtId="49" fontId="26" fillId="0" borderId="0" xfId="15" applyNumberFormat="1" applyFont="1" applyAlignment="1">
      <alignment horizontal="justify" wrapText="1"/>
    </xf>
    <xf numFmtId="164" fontId="26" fillId="0" borderId="0" xfId="15" applyNumberFormat="1" applyFont="1" applyAlignment="1">
      <alignment horizontal="right" vertical="center"/>
    </xf>
    <xf numFmtId="3" fontId="26" fillId="0" borderId="0" xfId="15" applyNumberFormat="1" applyFont="1" applyAlignment="1">
      <alignment horizontal="right" vertical="center"/>
    </xf>
    <xf numFmtId="164" fontId="36" fillId="0" borderId="0" xfId="15" applyNumberFormat="1" applyFont="1" applyAlignment="1">
      <alignment vertical="center"/>
    </xf>
    <xf numFmtId="164" fontId="26" fillId="0" borderId="0" xfId="15" applyNumberFormat="1" applyFont="1" applyBorder="1" applyAlignment="1">
      <alignment horizontal="right"/>
    </xf>
    <xf numFmtId="164" fontId="31" fillId="0" borderId="0" xfId="15" applyNumberFormat="1" applyFont="1" applyBorder="1" applyAlignment="1">
      <alignment/>
    </xf>
    <xf numFmtId="49" fontId="26" fillId="0" borderId="0" xfId="15" applyNumberFormat="1" applyFont="1" applyAlignment="1">
      <alignment horizontal="justify"/>
    </xf>
    <xf numFmtId="164" fontId="26" fillId="0" borderId="0" xfId="15" applyNumberFormat="1" applyFont="1" applyAlignment="1">
      <alignment horizontal="center" vertical="center"/>
    </xf>
    <xf numFmtId="164" fontId="32" fillId="0" borderId="0" xfId="15" applyNumberFormat="1" applyFont="1" applyAlignment="1">
      <alignment horizontal="center" vertical="top"/>
    </xf>
    <xf numFmtId="38" fontId="0" fillId="0" borderId="0" xfId="0" applyNumberFormat="1" applyFont="1" applyBorder="1" applyAlignment="1">
      <alignment vertical="center"/>
    </xf>
    <xf numFmtId="49" fontId="26" fillId="0" borderId="0" xfId="15" applyNumberFormat="1" applyFont="1" applyAlignment="1">
      <alignment horizontal="left"/>
    </xf>
    <xf numFmtId="164" fontId="26" fillId="0" borderId="0" xfId="15" applyNumberFormat="1" applyFont="1" applyFill="1" applyAlignment="1">
      <alignment horizontal="right"/>
    </xf>
    <xf numFmtId="164" fontId="32" fillId="0" borderId="0" xfId="15" applyNumberFormat="1" applyFont="1" applyFill="1" applyAlignment="1">
      <alignment/>
    </xf>
    <xf numFmtId="164" fontId="22" fillId="0" borderId="0" xfId="15" applyNumberFormat="1" applyFont="1" applyBorder="1" applyAlignment="1">
      <alignment/>
    </xf>
    <xf numFmtId="3" fontId="26" fillId="0" borderId="0" xfId="15" applyNumberFormat="1" applyFont="1" applyBorder="1" applyAlignment="1">
      <alignment/>
    </xf>
    <xf numFmtId="164" fontId="37" fillId="0" borderId="0" xfId="15" applyNumberFormat="1" applyFont="1" applyAlignment="1">
      <alignment horizontal="center"/>
    </xf>
    <xf numFmtId="164" fontId="37" fillId="0" borderId="0" xfId="15" applyNumberFormat="1" applyFont="1" applyAlignment="1">
      <alignment/>
    </xf>
    <xf numFmtId="49" fontId="37" fillId="0" borderId="0" xfId="15" applyNumberFormat="1" applyFont="1" applyAlignment="1">
      <alignment horizontal="left"/>
    </xf>
    <xf numFmtId="164" fontId="37" fillId="0" borderId="0" xfId="15" applyNumberFormat="1" applyFont="1" applyAlignment="1">
      <alignment horizontal="right"/>
    </xf>
    <xf numFmtId="164" fontId="31" fillId="0" borderId="0" xfId="15" applyNumberFormat="1" applyFont="1" applyAlignment="1">
      <alignment horizontal="center" vertical="center"/>
    </xf>
    <xf numFmtId="41" fontId="38" fillId="0" borderId="0" xfId="15" applyNumberFormat="1" applyFont="1" applyAlignment="1">
      <alignment/>
    </xf>
    <xf numFmtId="164" fontId="37" fillId="0" borderId="0" xfId="15" applyNumberFormat="1" applyFont="1" applyFill="1" applyAlignment="1">
      <alignment/>
    </xf>
    <xf numFmtId="38" fontId="39" fillId="0" borderId="0" xfId="0" applyNumberFormat="1" applyFont="1" applyBorder="1" applyAlignment="1">
      <alignment vertical="center"/>
    </xf>
    <xf numFmtId="164" fontId="23" fillId="0" borderId="0" xfId="15" applyNumberFormat="1" applyFont="1" applyBorder="1" applyAlignment="1">
      <alignment/>
    </xf>
    <xf numFmtId="164" fontId="37" fillId="0" borderId="0" xfId="15" applyNumberFormat="1" applyFont="1" applyBorder="1" applyAlignment="1">
      <alignment/>
    </xf>
    <xf numFmtId="41" fontId="26" fillId="0" borderId="0" xfId="15" applyNumberFormat="1" applyFont="1" applyAlignment="1">
      <alignment horizontal="right"/>
    </xf>
    <xf numFmtId="41" fontId="32" fillId="0" borderId="0" xfId="15" applyNumberFormat="1" applyFont="1" applyAlignment="1">
      <alignment/>
    </xf>
    <xf numFmtId="38" fontId="40" fillId="0" borderId="0" xfId="0" applyNumberFormat="1" applyFont="1" applyBorder="1" applyAlignment="1">
      <alignment vertical="center"/>
    </xf>
    <xf numFmtId="43" fontId="22" fillId="0" borderId="0" xfId="15" applyFont="1" applyBorder="1" applyAlignment="1">
      <alignment/>
    </xf>
    <xf numFmtId="38" fontId="26" fillId="0" borderId="0" xfId="0" applyNumberFormat="1" applyFont="1" applyBorder="1" applyAlignment="1">
      <alignment vertical="center"/>
    </xf>
    <xf numFmtId="38" fontId="41" fillId="0" borderId="0" xfId="0" applyNumberFormat="1" applyFont="1" applyBorder="1" applyAlignment="1">
      <alignment horizontal="center" vertical="center"/>
    </xf>
    <xf numFmtId="41" fontId="26" fillId="0" borderId="0" xfId="15" applyNumberFormat="1" applyFont="1" applyAlignment="1">
      <alignment horizontal="center" vertical="center"/>
    </xf>
    <xf numFmtId="41" fontId="26" fillId="0" borderId="0" xfId="15" applyNumberFormat="1" applyFont="1" applyFill="1" applyAlignment="1">
      <alignment horizontal="right"/>
    </xf>
    <xf numFmtId="164" fontId="27" fillId="0" borderId="0" xfId="15" applyNumberFormat="1" applyFont="1" applyAlignment="1">
      <alignment horizontal="center"/>
    </xf>
    <xf numFmtId="164" fontId="27" fillId="0" borderId="0" xfId="15" applyNumberFormat="1" applyFont="1" applyAlignment="1">
      <alignment/>
    </xf>
    <xf numFmtId="164" fontId="37" fillId="0" borderId="0" xfId="15" applyNumberFormat="1" applyFont="1" applyAlignment="1">
      <alignment horizontal="left"/>
    </xf>
    <xf numFmtId="41" fontId="37" fillId="0" borderId="0" xfId="15" applyNumberFormat="1" applyFont="1" applyAlignment="1">
      <alignment horizontal="right"/>
    </xf>
    <xf numFmtId="164" fontId="42" fillId="0" borderId="0" xfId="15" applyNumberFormat="1" applyFont="1" applyBorder="1" applyAlignment="1">
      <alignment/>
    </xf>
    <xf numFmtId="164" fontId="27" fillId="0" borderId="0" xfId="15" applyNumberFormat="1" applyFont="1" applyBorder="1" applyAlignment="1">
      <alignment/>
    </xf>
    <xf numFmtId="38" fontId="43" fillId="0" borderId="0" xfId="0" applyNumberFormat="1" applyFont="1" applyBorder="1" applyAlignment="1">
      <alignment horizontal="center" vertical="center"/>
    </xf>
    <xf numFmtId="164" fontId="31" fillId="0" borderId="0" xfId="15" applyNumberFormat="1" applyFont="1" applyAlignment="1">
      <alignment horizontal="left"/>
    </xf>
    <xf numFmtId="49" fontId="26" fillId="0" borderId="0" xfId="15" applyNumberFormat="1" applyFont="1" applyAlignment="1">
      <alignment horizontal="left" wrapText="1"/>
    </xf>
    <xf numFmtId="41" fontId="26" fillId="0" borderId="0" xfId="15" applyNumberFormat="1" applyFont="1" applyAlignment="1">
      <alignment horizontal="right" vertical="center"/>
    </xf>
    <xf numFmtId="41" fontId="44" fillId="0" borderId="0" xfId="15" applyNumberFormat="1" applyFont="1" applyAlignment="1">
      <alignment/>
    </xf>
    <xf numFmtId="164" fontId="27" fillId="0" borderId="0" xfId="15" applyNumberFormat="1" applyFont="1" applyFill="1" applyAlignment="1">
      <alignment/>
    </xf>
    <xf numFmtId="164" fontId="31" fillId="0" borderId="0" xfId="15" applyNumberFormat="1" applyFont="1" applyAlignment="1">
      <alignment horizontal="center"/>
    </xf>
    <xf numFmtId="164" fontId="31" fillId="0" borderId="0" xfId="15" applyNumberFormat="1" applyFont="1" applyAlignment="1">
      <alignment horizontal="right"/>
    </xf>
    <xf numFmtId="41" fontId="31" fillId="0" borderId="0" xfId="15" applyNumberFormat="1" applyFont="1" applyAlignment="1">
      <alignment horizontal="right"/>
    </xf>
    <xf numFmtId="41" fontId="45" fillId="0" borderId="0" xfId="15" applyNumberFormat="1" applyFont="1" applyAlignment="1">
      <alignment/>
    </xf>
    <xf numFmtId="164" fontId="31" fillId="0" borderId="0" xfId="15" applyNumberFormat="1" applyFont="1" applyFill="1" applyAlignment="1">
      <alignment/>
    </xf>
    <xf numFmtId="0" fontId="46" fillId="0" borderId="0" xfId="15" applyNumberFormat="1" applyFont="1" applyAlignment="1">
      <alignment horizontal="justify" wrapText="1"/>
    </xf>
    <xf numFmtId="164" fontId="24" fillId="0" borderId="0" xfId="15" applyNumberFormat="1" applyFont="1" applyFill="1" applyAlignment="1">
      <alignment/>
    </xf>
    <xf numFmtId="164" fontId="31" fillId="2" borderId="0" xfId="15" applyNumberFormat="1" applyFont="1" applyFill="1" applyAlignment="1">
      <alignment horizontal="right"/>
    </xf>
    <xf numFmtId="0" fontId="33" fillId="0" borderId="0" xfId="0" applyFont="1" applyAlignment="1">
      <alignment horizontal="right"/>
    </xf>
    <xf numFmtId="0" fontId="31" fillId="0" borderId="0" xfId="0" applyFont="1" applyAlignment="1">
      <alignment horizontal="center" wrapText="1"/>
    </xf>
    <xf numFmtId="164" fontId="33" fillId="0" borderId="0" xfId="15" applyNumberFormat="1" applyFont="1" applyAlignment="1">
      <alignment horizontal="left"/>
    </xf>
    <xf numFmtId="164" fontId="33" fillId="2" borderId="0" xfId="15" applyNumberFormat="1" applyFont="1" applyFill="1" applyAlignment="1">
      <alignment horizontal="center"/>
    </xf>
    <xf numFmtId="0" fontId="33" fillId="0" borderId="0" xfId="0" applyFont="1" applyAlignment="1">
      <alignment horizontal="center" wrapText="1"/>
    </xf>
    <xf numFmtId="0" fontId="31" fillId="0" borderId="0" xfId="0" applyFont="1" applyAlignment="1">
      <alignment horizontal="left" wrapText="1"/>
    </xf>
    <xf numFmtId="164" fontId="31" fillId="0" borderId="0" xfId="15" applyNumberFormat="1" applyFont="1" applyAlignment="1">
      <alignment/>
    </xf>
    <xf numFmtId="164" fontId="31" fillId="2" borderId="0" xfId="15" applyNumberFormat="1" applyFont="1" applyFill="1" applyAlignment="1">
      <alignment/>
    </xf>
    <xf numFmtId="164" fontId="22" fillId="0" borderId="0" xfId="15" applyNumberFormat="1" applyFont="1" applyAlignment="1">
      <alignment horizontal="center"/>
    </xf>
    <xf numFmtId="164" fontId="0" fillId="0" borderId="0" xfId="15" applyNumberFormat="1" applyFont="1" applyAlignment="1">
      <alignment horizontal="center"/>
    </xf>
    <xf numFmtId="164" fontId="0" fillId="2" borderId="0" xfId="15" applyNumberFormat="1" applyFont="1" applyFill="1" applyAlignment="1">
      <alignment/>
    </xf>
    <xf numFmtId="164" fontId="0" fillId="0" borderId="0" xfId="15" applyNumberFormat="1" applyFont="1" applyAlignment="1">
      <alignment/>
    </xf>
    <xf numFmtId="164" fontId="28" fillId="0" borderId="0" xfId="15" applyNumberFormat="1" applyFont="1" applyAlignment="1">
      <alignment/>
    </xf>
    <xf numFmtId="164" fontId="0" fillId="0" borderId="0" xfId="15" applyNumberFormat="1" applyFont="1" applyFill="1" applyBorder="1" applyAlignment="1" applyProtection="1">
      <alignment vertical="center"/>
      <protection/>
    </xf>
    <xf numFmtId="0" fontId="20" fillId="0" borderId="0" xfId="25" applyFont="1">
      <alignment/>
      <protection/>
    </xf>
    <xf numFmtId="0" fontId="20" fillId="0" borderId="0" xfId="23" applyFont="1" applyAlignment="1">
      <alignment horizontal="left"/>
      <protection/>
    </xf>
    <xf numFmtId="0" fontId="22" fillId="0" borderId="0" xfId="23" applyFont="1" applyAlignment="1">
      <alignment vertical="center"/>
      <protection/>
    </xf>
    <xf numFmtId="0" fontId="20" fillId="0" borderId="0" xfId="23" applyFont="1" applyAlignment="1">
      <alignment horizontal="right"/>
      <protection/>
    </xf>
    <xf numFmtId="0" fontId="23" fillId="0" borderId="0" xfId="23" applyFont="1" applyBorder="1" applyAlignment="1">
      <alignment horizontal="right" vertical="center"/>
      <protection/>
    </xf>
    <xf numFmtId="0" fontId="22" fillId="0" borderId="0" xfId="25" applyFont="1">
      <alignment/>
      <protection/>
    </xf>
    <xf numFmtId="0" fontId="22" fillId="0" borderId="0" xfId="23" applyFont="1">
      <alignment/>
      <protection/>
    </xf>
    <xf numFmtId="164" fontId="23" fillId="0" borderId="0" xfId="23" applyNumberFormat="1" applyFont="1" applyAlignment="1">
      <alignment horizontal="right"/>
      <protection/>
    </xf>
    <xf numFmtId="0" fontId="22" fillId="0" borderId="0" xfId="25" applyFont="1" applyBorder="1">
      <alignment/>
      <protection/>
    </xf>
    <xf numFmtId="0" fontId="22" fillId="0" borderId="0" xfId="23" applyFont="1">
      <alignment/>
      <protection/>
    </xf>
    <xf numFmtId="0" fontId="22" fillId="0" borderId="0" xfId="23" applyFont="1" applyAlignment="1">
      <alignment/>
      <protection/>
    </xf>
    <xf numFmtId="0" fontId="22" fillId="0" borderId="0" xfId="23" applyFont="1" applyBorder="1" applyAlignment="1">
      <alignment/>
      <protection/>
    </xf>
    <xf numFmtId="164" fontId="22" fillId="0" borderId="0" xfId="23" applyNumberFormat="1" applyFont="1" applyAlignment="1">
      <alignment horizontal="center"/>
      <protection/>
    </xf>
    <xf numFmtId="0" fontId="22" fillId="0" borderId="0" xfId="23" applyFont="1" applyBorder="1" applyAlignment="1">
      <alignment horizontal="center" vertical="center"/>
      <protection/>
    </xf>
    <xf numFmtId="0" fontId="33" fillId="0" borderId="0" xfId="23" applyFont="1" applyBorder="1" applyAlignment="1">
      <alignment horizontal="left"/>
      <protection/>
    </xf>
    <xf numFmtId="0" fontId="22" fillId="0" borderId="0" xfId="23" applyFont="1" applyAlignment="1">
      <alignment/>
      <protection/>
    </xf>
    <xf numFmtId="0" fontId="24" fillId="0" borderId="0" xfId="23" applyFont="1" applyBorder="1" applyAlignment="1">
      <alignment horizontal="center"/>
      <protection/>
    </xf>
    <xf numFmtId="0" fontId="27" fillId="0" borderId="0" xfId="23" applyFont="1" applyAlignment="1">
      <alignment horizontal="left" vertical="center"/>
      <protection/>
    </xf>
    <xf numFmtId="0" fontId="20" fillId="0" borderId="0" xfId="23" applyFont="1" applyBorder="1" applyAlignment="1">
      <alignment horizontal="left" vertical="center"/>
      <protection/>
    </xf>
    <xf numFmtId="0" fontId="48" fillId="0" borderId="0" xfId="23" applyFont="1" applyBorder="1" applyAlignment="1">
      <alignment horizontal="left" vertical="center"/>
      <protection/>
    </xf>
    <xf numFmtId="0" fontId="24" fillId="0" borderId="0" xfId="23" applyFont="1" applyBorder="1" applyAlignment="1">
      <alignment horizontal="left" vertical="center"/>
      <protection/>
    </xf>
    <xf numFmtId="0" fontId="24" fillId="0" borderId="0" xfId="23" applyFont="1" applyAlignment="1">
      <alignment vertical="center"/>
      <protection/>
    </xf>
    <xf numFmtId="0" fontId="24" fillId="0" borderId="0" xfId="23" applyFont="1" applyAlignment="1">
      <alignment horizontal="left" vertical="center"/>
      <protection/>
    </xf>
    <xf numFmtId="164" fontId="22" fillId="0" borderId="0" xfId="15" applyNumberFormat="1" applyFont="1" applyAlignment="1">
      <alignment vertical="center"/>
    </xf>
    <xf numFmtId="14" fontId="24" fillId="0" borderId="0" xfId="15" applyNumberFormat="1" applyFont="1" applyBorder="1" applyAlignment="1">
      <alignment horizontal="right" vertical="center"/>
    </xf>
    <xf numFmtId="164" fontId="24" fillId="0" borderId="0" xfId="15" applyNumberFormat="1" applyFont="1" applyAlignment="1" quotePrefix="1">
      <alignment horizontal="right" vertical="center"/>
    </xf>
    <xf numFmtId="164" fontId="24" fillId="0" borderId="0" xfId="15" applyNumberFormat="1" applyFont="1" applyBorder="1" applyAlignment="1">
      <alignment horizontal="center" vertical="center"/>
    </xf>
    <xf numFmtId="164" fontId="48" fillId="0" borderId="0" xfId="15" applyNumberFormat="1" applyFont="1" applyAlignment="1" quotePrefix="1">
      <alignment horizontal="right" vertical="center"/>
    </xf>
    <xf numFmtId="164" fontId="24" fillId="0" borderId="0" xfId="15" applyNumberFormat="1" applyFont="1" applyBorder="1" applyAlignment="1">
      <alignment horizontal="right" vertical="center"/>
    </xf>
    <xf numFmtId="164" fontId="24" fillId="0" borderId="15" xfId="15" applyNumberFormat="1" applyFont="1" applyBorder="1" applyAlignment="1">
      <alignment horizontal="right" vertical="center"/>
    </xf>
    <xf numFmtId="164" fontId="48" fillId="0" borderId="0" xfId="15" applyNumberFormat="1" applyFont="1" applyBorder="1" applyAlignment="1">
      <alignment horizontal="right" vertical="center"/>
    </xf>
    <xf numFmtId="0" fontId="42" fillId="0" borderId="0" xfId="23" applyFont="1" applyAlignment="1">
      <alignment horizontal="left" vertical="center" wrapText="1" indent="3"/>
      <protection/>
    </xf>
    <xf numFmtId="164" fontId="42" fillId="0" borderId="0" xfId="15" applyNumberFormat="1" applyFont="1" applyAlignment="1">
      <alignment vertical="center"/>
    </xf>
    <xf numFmtId="164" fontId="42" fillId="0" borderId="0" xfId="15" applyNumberFormat="1" applyFont="1" applyAlignment="1">
      <alignment horizontal="right" vertical="center"/>
    </xf>
    <xf numFmtId="164" fontId="42" fillId="0" borderId="0" xfId="15" applyNumberFormat="1" applyFont="1" applyBorder="1" applyAlignment="1">
      <alignment vertical="center"/>
    </xf>
    <xf numFmtId="164" fontId="49" fillId="0" borderId="0" xfId="15" applyNumberFormat="1" applyFont="1" applyAlignment="1">
      <alignment horizontal="right" vertical="center"/>
    </xf>
    <xf numFmtId="0" fontId="49" fillId="0" borderId="0" xfId="23" applyFont="1" applyAlignment="1">
      <alignment vertical="center"/>
      <protection/>
    </xf>
    <xf numFmtId="0" fontId="42" fillId="0" borderId="0" xfId="23" applyFont="1" applyAlignment="1">
      <alignment vertical="center"/>
      <protection/>
    </xf>
    <xf numFmtId="41" fontId="42" fillId="0" borderId="0" xfId="15" applyNumberFormat="1" applyFont="1" applyAlignment="1">
      <alignment horizontal="right" vertical="center"/>
    </xf>
    <xf numFmtId="41" fontId="42" fillId="0" borderId="0" xfId="15" applyNumberFormat="1" applyFont="1" applyBorder="1" applyAlignment="1">
      <alignment vertical="center"/>
    </xf>
    <xf numFmtId="0" fontId="22" fillId="0" borderId="0" xfId="23" applyFont="1" applyAlignment="1">
      <alignment horizontal="left" vertical="center"/>
      <protection/>
    </xf>
    <xf numFmtId="164" fontId="22" fillId="0" borderId="0" xfId="15" applyNumberFormat="1" applyFont="1" applyBorder="1" applyAlignment="1">
      <alignment horizontal="right" vertical="center"/>
    </xf>
    <xf numFmtId="41" fontId="22" fillId="0" borderId="0" xfId="15" applyNumberFormat="1" applyFont="1" applyBorder="1" applyAlignment="1">
      <alignment horizontal="right" vertical="center"/>
    </xf>
    <xf numFmtId="164" fontId="50" fillId="0" borderId="0" xfId="15" applyNumberFormat="1" applyFont="1" applyBorder="1" applyAlignment="1">
      <alignment horizontal="right" vertical="center"/>
    </xf>
    <xf numFmtId="0" fontId="23" fillId="0" borderId="0" xfId="23" applyFont="1">
      <alignment/>
      <protection/>
    </xf>
    <xf numFmtId="41" fontId="23" fillId="0" borderId="0" xfId="15" applyNumberFormat="1" applyFont="1" applyAlignment="1">
      <alignment/>
    </xf>
    <xf numFmtId="164" fontId="51" fillId="0" borderId="0" xfId="15" applyNumberFormat="1" applyFont="1" applyBorder="1" applyAlignment="1">
      <alignment horizontal="right" vertical="center"/>
    </xf>
    <xf numFmtId="0" fontId="23" fillId="0" borderId="0" xfId="23" applyFont="1" applyAlignment="1">
      <alignment vertical="center"/>
      <protection/>
    </xf>
    <xf numFmtId="41" fontId="22" fillId="0" borderId="0" xfId="15" applyNumberFormat="1" applyFont="1" applyBorder="1" applyAlignment="1">
      <alignment vertical="center"/>
    </xf>
    <xf numFmtId="0" fontId="22" fillId="0" borderId="0" xfId="23" applyFont="1" applyAlignment="1">
      <alignment vertical="center" wrapText="1"/>
      <protection/>
    </xf>
    <xf numFmtId="0" fontId="23" fillId="0" borderId="0" xfId="23" applyFont="1" applyAlignment="1">
      <alignment vertical="center" wrapText="1"/>
      <protection/>
    </xf>
    <xf numFmtId="164" fontId="23" fillId="0" borderId="0" xfId="15" applyNumberFormat="1" applyFont="1" applyAlignment="1">
      <alignment vertical="center"/>
    </xf>
    <xf numFmtId="41" fontId="23" fillId="0" borderId="0" xfId="15" applyNumberFormat="1" applyFont="1" applyFill="1" applyBorder="1" applyAlignment="1">
      <alignment horizontal="right" vertical="center"/>
    </xf>
    <xf numFmtId="41" fontId="23" fillId="0" borderId="0" xfId="15" applyNumberFormat="1" applyFont="1" applyBorder="1" applyAlignment="1">
      <alignment horizontal="right" vertical="center"/>
    </xf>
    <xf numFmtId="164" fontId="49" fillId="0" borderId="0" xfId="15" applyNumberFormat="1" applyFont="1" applyBorder="1" applyAlignment="1">
      <alignment horizontal="right" vertical="center"/>
    </xf>
    <xf numFmtId="164" fontId="24" fillId="0" borderId="0" xfId="15" applyNumberFormat="1" applyFont="1" applyAlignment="1">
      <alignment vertical="center"/>
    </xf>
    <xf numFmtId="41" fontId="24" fillId="0" borderId="16" xfId="15" applyNumberFormat="1" applyFont="1" applyBorder="1" applyAlignment="1">
      <alignment horizontal="right" vertical="center"/>
    </xf>
    <xf numFmtId="41" fontId="24" fillId="0" borderId="0" xfId="15" applyNumberFormat="1" applyFont="1" applyBorder="1" applyAlignment="1">
      <alignment vertical="center"/>
    </xf>
    <xf numFmtId="0" fontId="48" fillId="0" borderId="0" xfId="23" applyFont="1" applyAlignment="1">
      <alignment vertical="center"/>
      <protection/>
    </xf>
    <xf numFmtId="164" fontId="49" fillId="0" borderId="0" xfId="15" applyNumberFormat="1" applyFont="1" applyAlignment="1">
      <alignment vertical="center"/>
    </xf>
    <xf numFmtId="164" fontId="49" fillId="0" borderId="0" xfId="15" applyNumberFormat="1" applyFont="1" applyBorder="1" applyAlignment="1">
      <alignment vertical="center"/>
    </xf>
    <xf numFmtId="14" fontId="24" fillId="0" borderId="0" xfId="15" applyNumberFormat="1" applyFont="1" applyAlignment="1" quotePrefix="1">
      <alignment horizontal="right" vertical="center"/>
    </xf>
    <xf numFmtId="0" fontId="42" fillId="0" borderId="0" xfId="23" applyFont="1" applyAlignment="1" quotePrefix="1">
      <alignment vertical="center" wrapText="1"/>
      <protection/>
    </xf>
    <xf numFmtId="0" fontId="42" fillId="0" borderId="0" xfId="23" applyFont="1" applyAlignment="1">
      <alignment horizontal="left" vertical="center"/>
      <protection/>
    </xf>
    <xf numFmtId="41" fontId="42" fillId="0" borderId="0" xfId="15" applyNumberFormat="1" applyFont="1" applyBorder="1" applyAlignment="1">
      <alignment horizontal="right" vertical="center"/>
    </xf>
    <xf numFmtId="0" fontId="22" fillId="0" borderId="0" xfId="23" applyFont="1" applyAlignment="1">
      <alignment horizontal="left" vertical="center" wrapText="1" indent="3"/>
      <protection/>
    </xf>
    <xf numFmtId="41" fontId="31" fillId="0" borderId="16" xfId="15" applyNumberFormat="1" applyFont="1" applyBorder="1" applyAlignment="1">
      <alignment horizontal="right" vertical="center"/>
    </xf>
    <xf numFmtId="41" fontId="23" fillId="0" borderId="0" xfId="15" applyNumberFormat="1" applyFont="1" applyAlignment="1">
      <alignment horizontal="right" vertical="center"/>
    </xf>
    <xf numFmtId="0" fontId="23" fillId="0" borderId="0" xfId="23" applyFont="1" applyAlignment="1">
      <alignment horizontal="left" vertical="center" indent="1"/>
      <protection/>
    </xf>
    <xf numFmtId="41" fontId="24" fillId="0" borderId="0" xfId="23" applyNumberFormat="1" applyFont="1" applyBorder="1" applyAlignment="1">
      <alignment horizontal="left" vertical="center"/>
      <protection/>
    </xf>
    <xf numFmtId="0" fontId="51" fillId="0" borderId="0" xfId="23" applyFont="1" applyAlignment="1">
      <alignment horizontal="left" vertical="center" indent="1"/>
      <protection/>
    </xf>
    <xf numFmtId="0" fontId="24" fillId="0" borderId="0" xfId="23" applyFont="1" applyFill="1" applyAlignment="1" quotePrefix="1">
      <alignment vertical="center"/>
      <protection/>
    </xf>
    <xf numFmtId="0" fontId="24" fillId="0" borderId="0" xfId="23" applyFont="1" applyFill="1" applyAlignment="1">
      <alignment horizontal="left" vertical="center"/>
      <protection/>
    </xf>
    <xf numFmtId="164" fontId="22" fillId="0" borderId="0" xfId="15" applyNumberFormat="1" applyFont="1" applyFill="1" applyAlignment="1">
      <alignment vertical="center"/>
    </xf>
    <xf numFmtId="164" fontId="22" fillId="0" borderId="0" xfId="15" applyNumberFormat="1" applyFont="1" applyFill="1" applyBorder="1" applyAlignment="1">
      <alignment horizontal="right" vertical="center"/>
    </xf>
    <xf numFmtId="164" fontId="22" fillId="0" borderId="0" xfId="15" applyNumberFormat="1" applyFont="1" applyFill="1" applyBorder="1" applyAlignment="1">
      <alignment vertical="center"/>
    </xf>
    <xf numFmtId="0" fontId="22" fillId="0" borderId="0" xfId="23" applyFont="1" applyFill="1" applyAlignment="1">
      <alignment vertical="center"/>
      <protection/>
    </xf>
    <xf numFmtId="0" fontId="24" fillId="0" borderId="0" xfId="23" applyFont="1" applyFill="1" applyAlignment="1">
      <alignment vertical="center"/>
      <protection/>
    </xf>
    <xf numFmtId="0" fontId="24" fillId="0" borderId="0" xfId="23" applyFont="1" applyFill="1" applyBorder="1" applyAlignment="1">
      <alignment vertical="center" wrapText="1"/>
      <protection/>
    </xf>
    <xf numFmtId="164" fontId="24" fillId="0" borderId="0" xfId="15" applyNumberFormat="1" applyFont="1" applyFill="1" applyBorder="1" applyAlignment="1">
      <alignment horizontal="center" vertical="center" wrapText="1"/>
    </xf>
    <xf numFmtId="0" fontId="24" fillId="0" borderId="15" xfId="23" applyFont="1" applyFill="1" applyBorder="1" applyAlignment="1">
      <alignment horizontal="center" vertical="center" wrapText="1"/>
      <protection/>
    </xf>
    <xf numFmtId="0" fontId="24" fillId="0" borderId="15" xfId="23" applyFont="1" applyFill="1" applyBorder="1" applyAlignment="1">
      <alignment vertical="center" wrapText="1"/>
      <protection/>
    </xf>
    <xf numFmtId="164" fontId="24" fillId="0" borderId="15" xfId="15" applyNumberFormat="1" applyFont="1" applyFill="1" applyBorder="1" applyAlignment="1">
      <alignment horizontal="center" vertical="center" wrapText="1"/>
    </xf>
    <xf numFmtId="164" fontId="22" fillId="0" borderId="0" xfId="15" applyNumberFormat="1" applyFont="1" applyAlignment="1">
      <alignment horizontal="right" vertical="center"/>
    </xf>
    <xf numFmtId="0" fontId="22" fillId="0" borderId="0" xfId="23" applyFont="1" applyBorder="1" applyAlignment="1">
      <alignment vertical="center"/>
      <protection/>
    </xf>
    <xf numFmtId="164" fontId="22" fillId="0" borderId="0" xfId="15" applyNumberFormat="1" applyFont="1" applyAlignment="1">
      <alignment horizontal="left" vertical="center" indent="1"/>
    </xf>
    <xf numFmtId="164" fontId="24" fillId="0" borderId="0" xfId="15" applyNumberFormat="1" applyFont="1" applyFill="1" applyAlignment="1">
      <alignment vertical="center"/>
    </xf>
    <xf numFmtId="41" fontId="22" fillId="0" borderId="0" xfId="15" applyNumberFormat="1" applyFont="1" applyFill="1" applyAlignment="1">
      <alignment vertical="center"/>
    </xf>
    <xf numFmtId="41" fontId="24" fillId="0" borderId="0" xfId="15" applyNumberFormat="1" applyFont="1" applyFill="1" applyBorder="1" applyAlignment="1">
      <alignment vertical="center"/>
    </xf>
    <xf numFmtId="41" fontId="22" fillId="0" borderId="0" xfId="15" applyNumberFormat="1" applyFont="1" applyFill="1" applyBorder="1" applyAlignment="1">
      <alignment vertical="center"/>
    </xf>
    <xf numFmtId="41" fontId="22" fillId="0" borderId="0" xfId="23" applyNumberFormat="1" applyFont="1" applyFill="1" applyAlignment="1">
      <alignment vertical="center"/>
      <protection/>
    </xf>
    <xf numFmtId="41" fontId="22" fillId="0" borderId="0" xfId="15" applyNumberFormat="1" applyFont="1" applyAlignment="1">
      <alignment horizontal="right" vertical="center"/>
    </xf>
    <xf numFmtId="41" fontId="22" fillId="0" borderId="0" xfId="15" applyNumberFormat="1" applyFont="1" applyAlignment="1">
      <alignment horizontal="left" vertical="center" indent="1"/>
    </xf>
    <xf numFmtId="41" fontId="26" fillId="0" borderId="0" xfId="15" applyNumberFormat="1" applyFont="1" applyAlignment="1">
      <alignment horizontal="left" vertical="center" indent="1"/>
    </xf>
    <xf numFmtId="41" fontId="42" fillId="0" borderId="0" xfId="15" applyNumberFormat="1" applyFont="1" applyFill="1" applyBorder="1" applyAlignment="1">
      <alignment vertical="center"/>
    </xf>
    <xf numFmtId="0" fontId="49" fillId="0" borderId="0" xfId="23" applyFont="1" applyFill="1" applyAlignment="1">
      <alignment vertical="center"/>
      <protection/>
    </xf>
    <xf numFmtId="0" fontId="50" fillId="0" borderId="0" xfId="23" applyFont="1" applyFill="1" applyAlignment="1">
      <alignment vertical="center"/>
      <protection/>
    </xf>
    <xf numFmtId="164" fontId="49" fillId="0" borderId="0" xfId="15" applyNumberFormat="1" applyFont="1" applyFill="1" applyAlignment="1">
      <alignment vertical="center"/>
    </xf>
    <xf numFmtId="164" fontId="50" fillId="0" borderId="0" xfId="15" applyNumberFormat="1" applyFont="1" applyFill="1" applyAlignment="1">
      <alignment vertical="center"/>
    </xf>
    <xf numFmtId="164" fontId="50" fillId="0" borderId="0" xfId="15" applyNumberFormat="1" applyFont="1" applyFill="1" applyBorder="1" applyAlignment="1">
      <alignment vertical="center"/>
    </xf>
    <xf numFmtId="164" fontId="24" fillId="0" borderId="0" xfId="15" applyNumberFormat="1" applyFont="1" applyFill="1" applyBorder="1" applyAlignment="1">
      <alignment horizontal="center" vertical="center"/>
    </xf>
    <xf numFmtId="0" fontId="42" fillId="0" borderId="0" xfId="23" applyFont="1" applyFill="1" applyAlignment="1">
      <alignment vertical="center"/>
      <protection/>
    </xf>
    <xf numFmtId="164" fontId="42" fillId="0" borderId="0" xfId="15" applyNumberFormat="1" applyFont="1" applyFill="1" applyAlignment="1">
      <alignment vertical="center"/>
    </xf>
    <xf numFmtId="164" fontId="42" fillId="0" borderId="0" xfId="15" applyNumberFormat="1" applyFont="1" applyFill="1" applyBorder="1" applyAlignment="1">
      <alignment horizontal="right" vertical="center"/>
    </xf>
    <xf numFmtId="41" fontId="22" fillId="0" borderId="0" xfId="15" applyNumberFormat="1" applyFont="1" applyFill="1" applyBorder="1" applyAlignment="1">
      <alignment horizontal="right" vertical="center"/>
    </xf>
    <xf numFmtId="164" fontId="23" fillId="0" borderId="0" xfId="15" applyNumberFormat="1" applyFont="1" applyFill="1" applyAlignment="1">
      <alignment vertical="center"/>
    </xf>
    <xf numFmtId="164" fontId="23" fillId="0" borderId="0" xfId="15" applyNumberFormat="1" applyFont="1" applyFill="1" applyBorder="1" applyAlignment="1">
      <alignment horizontal="right" vertical="center"/>
    </xf>
    <xf numFmtId="41" fontId="22" fillId="0" borderId="0" xfId="15" applyNumberFormat="1" applyFont="1" applyFill="1" applyAlignment="1">
      <alignment horizontal="left" vertical="center" indent="1"/>
    </xf>
    <xf numFmtId="41" fontId="23" fillId="0" borderId="0" xfId="15" applyNumberFormat="1" applyFont="1" applyFill="1" applyBorder="1" applyAlignment="1">
      <alignment vertical="center"/>
    </xf>
    <xf numFmtId="0" fontId="51" fillId="0" borderId="0" xfId="23" applyFont="1" applyFill="1" applyAlignment="1">
      <alignment vertical="center"/>
      <protection/>
    </xf>
    <xf numFmtId="164" fontId="22" fillId="0" borderId="0" xfId="15" applyNumberFormat="1" applyFont="1" applyBorder="1" applyAlignment="1">
      <alignment vertical="center"/>
    </xf>
    <xf numFmtId="164" fontId="24" fillId="0" borderId="16" xfId="15" applyNumberFormat="1" applyFont="1" applyBorder="1" applyAlignment="1">
      <alignment horizontal="right" vertical="center"/>
    </xf>
    <xf numFmtId="164" fontId="24" fillId="0" borderId="0" xfId="15" applyNumberFormat="1" applyFont="1" applyBorder="1" applyAlignment="1">
      <alignment vertical="center"/>
    </xf>
    <xf numFmtId="0" fontId="49" fillId="0" borderId="0" xfId="23" applyFont="1" applyAlignment="1">
      <alignment horizontal="justify" vertical="center"/>
      <protection/>
    </xf>
    <xf numFmtId="0" fontId="24" fillId="0" borderId="0" xfId="23" applyFont="1" applyBorder="1" applyAlignment="1">
      <alignment vertical="center"/>
      <protection/>
    </xf>
    <xf numFmtId="41" fontId="24" fillId="0" borderId="0" xfId="15" applyNumberFormat="1" applyFont="1" applyBorder="1" applyAlignment="1">
      <alignment horizontal="right" vertical="center"/>
    </xf>
    <xf numFmtId="164" fontId="23" fillId="0" borderId="0" xfId="15" applyNumberFormat="1" applyFont="1" applyBorder="1" applyAlignment="1">
      <alignment horizontal="right" vertical="center"/>
    </xf>
    <xf numFmtId="164" fontId="23" fillId="0" borderId="0" xfId="15" applyNumberFormat="1" applyFont="1" applyBorder="1" applyAlignment="1">
      <alignment vertical="center"/>
    </xf>
    <xf numFmtId="0" fontId="52" fillId="0" borderId="0" xfId="23" applyFont="1" applyAlignment="1">
      <alignment horizontal="left" vertical="center" wrapText="1" indent="3"/>
      <protection/>
    </xf>
    <xf numFmtId="0" fontId="24" fillId="0" borderId="0" xfId="23" applyFont="1" applyFill="1" applyAlignment="1">
      <alignment horizontal="center" vertical="center"/>
      <protection/>
    </xf>
    <xf numFmtId="14" fontId="24" fillId="0" borderId="15" xfId="23" applyNumberFormat="1" applyFont="1" applyFill="1" applyBorder="1" applyAlignment="1" quotePrefix="1">
      <alignment horizontal="center" vertical="center"/>
      <protection/>
    </xf>
    <xf numFmtId="0" fontId="24" fillId="0" borderId="15" xfId="23" applyFont="1" applyFill="1" applyBorder="1" applyAlignment="1">
      <alignment horizontal="center" vertical="center"/>
      <protection/>
    </xf>
    <xf numFmtId="0" fontId="42" fillId="0" borderId="0" xfId="23" applyFont="1" applyFill="1" applyAlignment="1">
      <alignment horizontal="left" vertical="center" wrapText="1" indent="3"/>
      <protection/>
    </xf>
    <xf numFmtId="164" fontId="42" fillId="0" borderId="0" xfId="15" applyNumberFormat="1" applyFont="1" applyFill="1" applyAlignment="1">
      <alignment horizontal="right" vertical="center"/>
    </xf>
    <xf numFmtId="164" fontId="42" fillId="0" borderId="0" xfId="15" applyNumberFormat="1" applyFont="1" applyFill="1" applyBorder="1" applyAlignment="1">
      <alignment vertical="center"/>
    </xf>
    <xf numFmtId="41" fontId="22" fillId="0" borderId="0" xfId="15" applyNumberFormat="1" applyFont="1" applyFill="1" applyAlignment="1">
      <alignment horizontal="right" vertical="center"/>
    </xf>
    <xf numFmtId="41" fontId="22" fillId="0" borderId="0" xfId="23" applyNumberFormat="1" applyFont="1" applyFill="1" applyAlignment="1">
      <alignment vertical="center" wrapText="1"/>
      <protection/>
    </xf>
    <xf numFmtId="41" fontId="26" fillId="0" borderId="0" xfId="15" applyNumberFormat="1" applyFont="1" applyFill="1" applyAlignment="1">
      <alignment horizontal="right" vertical="center"/>
    </xf>
    <xf numFmtId="0" fontId="22" fillId="0" borderId="0" xfId="23" applyFont="1" applyFill="1" applyAlignment="1">
      <alignment horizontal="justify" vertical="center"/>
      <protection/>
    </xf>
    <xf numFmtId="0" fontId="24" fillId="0" borderId="0" xfId="23" applyFont="1" applyFill="1" applyAlignment="1">
      <alignment horizontal="justify" vertical="center"/>
      <protection/>
    </xf>
    <xf numFmtId="41" fontId="24" fillId="0" borderId="0" xfId="15" applyNumberFormat="1" applyFont="1" applyFill="1" applyBorder="1" applyAlignment="1">
      <alignment horizontal="right" vertical="center"/>
    </xf>
    <xf numFmtId="41" fontId="24" fillId="0" borderId="0" xfId="15" applyNumberFormat="1" applyFont="1" applyFill="1" applyAlignment="1">
      <alignment vertical="center"/>
    </xf>
    <xf numFmtId="0" fontId="48" fillId="0" borderId="0" xfId="23" applyFont="1" applyAlignment="1">
      <alignment horizontal="justify" vertical="center"/>
      <protection/>
    </xf>
    <xf numFmtId="164" fontId="48" fillId="0" borderId="0" xfId="15" applyNumberFormat="1" applyFont="1" applyAlignment="1">
      <alignment vertical="center"/>
    </xf>
    <xf numFmtId="164" fontId="48" fillId="0" borderId="0" xfId="15" applyNumberFormat="1" applyFont="1" applyBorder="1" applyAlignment="1">
      <alignment vertical="center"/>
    </xf>
    <xf numFmtId="0" fontId="22" fillId="0" borderId="0" xfId="23" applyFont="1" applyFill="1" applyAlignment="1">
      <alignment horizontal="left" vertical="center"/>
      <protection/>
    </xf>
    <xf numFmtId="41" fontId="24" fillId="0" borderId="0" xfId="15" applyNumberFormat="1" applyFont="1" applyAlignment="1">
      <alignment horizontal="right" vertical="center"/>
    </xf>
    <xf numFmtId="0" fontId="49" fillId="0" borderId="0" xfId="23" applyFont="1" applyAlignment="1">
      <alignment horizontal="left" vertical="center" wrapText="1" indent="3"/>
      <protection/>
    </xf>
    <xf numFmtId="0" fontId="23" fillId="0" borderId="0" xfId="23" applyFont="1" applyAlignment="1">
      <alignment horizontal="left" vertical="center" wrapText="1" indent="3"/>
      <protection/>
    </xf>
    <xf numFmtId="0" fontId="22" fillId="0" borderId="0" xfId="23" applyFont="1" applyFill="1">
      <alignment/>
      <protection/>
    </xf>
    <xf numFmtId="0" fontId="23" fillId="0" borderId="0" xfId="23" applyFont="1" applyFill="1" applyAlignment="1">
      <alignment horizontal="left" vertical="center" wrapText="1" indent="3"/>
      <protection/>
    </xf>
    <xf numFmtId="164" fontId="22" fillId="0" borderId="0" xfId="15" applyNumberFormat="1" applyFont="1" applyFill="1" applyAlignment="1">
      <alignment/>
    </xf>
    <xf numFmtId="41" fontId="22" fillId="0" borderId="0" xfId="15" applyNumberFormat="1" applyFont="1" applyFill="1" applyAlignment="1">
      <alignment/>
    </xf>
    <xf numFmtId="41" fontId="22" fillId="0" borderId="0" xfId="23" applyNumberFormat="1" applyFont="1" applyFill="1">
      <alignment/>
      <protection/>
    </xf>
    <xf numFmtId="41" fontId="22" fillId="0" borderId="0" xfId="23" applyNumberFormat="1" applyFont="1">
      <alignment/>
      <protection/>
    </xf>
    <xf numFmtId="0" fontId="22" fillId="0" borderId="0" xfId="23" applyFont="1" applyFill="1" applyAlignment="1">
      <alignment horizontal="left" vertical="center" wrapText="1" indent="3"/>
      <protection/>
    </xf>
    <xf numFmtId="41" fontId="24" fillId="0" borderId="0" xfId="15" applyNumberFormat="1" applyFont="1" applyFill="1" applyBorder="1" applyAlignment="1">
      <alignment horizontal="center" vertical="center"/>
    </xf>
    <xf numFmtId="41" fontId="24" fillId="0" borderId="0" xfId="23" applyNumberFormat="1" applyFont="1" applyFill="1" applyBorder="1" applyAlignment="1">
      <alignment horizontal="center" vertical="center"/>
      <protection/>
    </xf>
    <xf numFmtId="164" fontId="24" fillId="0" borderId="15" xfId="15" applyNumberFormat="1" applyFont="1" applyFill="1" applyBorder="1" applyAlignment="1">
      <alignment horizontal="right" vertical="center"/>
    </xf>
    <xf numFmtId="0" fontId="49" fillId="0" borderId="0" xfId="23" applyFont="1" applyFill="1" applyAlignment="1">
      <alignment horizontal="left" vertical="center" wrapText="1" indent="3"/>
      <protection/>
    </xf>
    <xf numFmtId="0" fontId="24" fillId="0" borderId="0" xfId="24" applyFont="1" applyFill="1" applyAlignment="1">
      <alignment vertical="center"/>
      <protection/>
    </xf>
    <xf numFmtId="164" fontId="24" fillId="0" borderId="0" xfId="15" applyNumberFormat="1" applyFont="1" applyFill="1" applyBorder="1" applyAlignment="1">
      <alignment horizontal="right" vertical="center"/>
    </xf>
    <xf numFmtId="0" fontId="22" fillId="0" borderId="0" xfId="24" applyFont="1" applyFill="1" applyAlignment="1">
      <alignment vertical="center"/>
      <protection/>
    </xf>
    <xf numFmtId="0" fontId="24" fillId="0" borderId="0" xfId="24" applyFont="1" applyFill="1" applyAlignment="1">
      <alignment horizontal="left" vertical="center"/>
      <protection/>
    </xf>
    <xf numFmtId="0" fontId="42" fillId="0" borderId="0" xfId="24" applyFont="1" applyFill="1" applyAlignment="1">
      <alignment horizontal="left" vertical="center" wrapText="1" indent="3"/>
      <protection/>
    </xf>
    <xf numFmtId="10" fontId="22" fillId="0" borderId="0" xfId="24" applyNumberFormat="1" applyFont="1" applyFill="1" applyAlignment="1">
      <alignment horizontal="left" vertical="center" wrapText="1" indent="3"/>
      <protection/>
    </xf>
    <xf numFmtId="164" fontId="22" fillId="0" borderId="0" xfId="15" applyNumberFormat="1" applyFont="1" applyFill="1" applyAlignment="1">
      <alignment horizontal="right" vertical="center"/>
    </xf>
    <xf numFmtId="0" fontId="22" fillId="0" borderId="0" xfId="24" applyFont="1" applyFill="1" applyAlignment="1">
      <alignment horizontal="left" vertical="center"/>
      <protection/>
    </xf>
    <xf numFmtId="0" fontId="42" fillId="0" borderId="0" xfId="24" applyFont="1" applyFill="1" applyAlignment="1">
      <alignment vertical="center"/>
      <protection/>
    </xf>
    <xf numFmtId="10" fontId="22" fillId="0" borderId="0" xfId="24" applyNumberFormat="1" applyFont="1" applyFill="1" applyAlignment="1">
      <alignment vertical="center"/>
      <protection/>
    </xf>
    <xf numFmtId="0" fontId="22" fillId="0" borderId="0" xfId="24" applyFont="1" applyFill="1" applyAlignment="1">
      <alignment vertical="justify" wrapText="1"/>
      <protection/>
    </xf>
    <xf numFmtId="0" fontId="0" fillId="0" borderId="0" xfId="24" applyFont="1" applyFill="1" applyAlignment="1">
      <alignment vertical="justify" wrapText="1"/>
      <protection/>
    </xf>
    <xf numFmtId="0" fontId="48" fillId="0" borderId="0" xfId="24" applyFont="1" applyFill="1" applyAlignment="1">
      <alignment vertical="center"/>
      <protection/>
    </xf>
    <xf numFmtId="0" fontId="49" fillId="0" borderId="0" xfId="24" applyFont="1" applyFill="1" applyAlignment="1">
      <alignment horizontal="left" vertical="center"/>
      <protection/>
    </xf>
    <xf numFmtId="0" fontId="50" fillId="0" borderId="0" xfId="24" applyFont="1" applyFill="1" applyAlignment="1">
      <alignment horizontal="left" vertical="center" wrapText="1" indent="3"/>
      <protection/>
    </xf>
    <xf numFmtId="0" fontId="49" fillId="0" borderId="0" xfId="24" applyFont="1" applyFill="1" applyAlignment="1">
      <alignment vertical="center"/>
      <protection/>
    </xf>
    <xf numFmtId="10" fontId="49" fillId="0" borderId="0" xfId="24" applyNumberFormat="1" applyFont="1" applyFill="1" applyAlignment="1">
      <alignment vertical="center"/>
      <protection/>
    </xf>
    <xf numFmtId="164" fontId="49" fillId="0" borderId="0" xfId="15" applyNumberFormat="1" applyFont="1" applyFill="1" applyBorder="1" applyAlignment="1">
      <alignment vertical="center"/>
    </xf>
    <xf numFmtId="164" fontId="48" fillId="0" borderId="0" xfId="15" applyNumberFormat="1" applyFont="1" applyFill="1" applyBorder="1" applyAlignment="1">
      <alignment horizontal="right" vertical="center"/>
    </xf>
    <xf numFmtId="0" fontId="48" fillId="0" borderId="0" xfId="23" applyFont="1" applyAlignment="1">
      <alignment horizontal="left" vertical="center"/>
      <protection/>
    </xf>
    <xf numFmtId="0" fontId="50" fillId="0" borderId="0" xfId="23" applyFont="1" applyAlignment="1">
      <alignment vertical="center"/>
      <protection/>
    </xf>
    <xf numFmtId="0" fontId="50" fillId="0" borderId="0" xfId="23" applyFont="1" applyAlignment="1">
      <alignment horizontal="left" vertical="center"/>
      <protection/>
    </xf>
    <xf numFmtId="164" fontId="51" fillId="0" borderId="0" xfId="15" applyNumberFormat="1" applyFont="1" applyBorder="1" applyAlignment="1">
      <alignment vertical="center"/>
    </xf>
    <xf numFmtId="164" fontId="48" fillId="0" borderId="15" xfId="15" applyNumberFormat="1" applyFont="1" applyBorder="1" applyAlignment="1">
      <alignment horizontal="right" vertical="center"/>
    </xf>
    <xf numFmtId="0" fontId="50" fillId="0" borderId="0" xfId="23" applyFont="1" applyAlignment="1">
      <alignment horizontal="left" vertical="center" wrapText="1" indent="3"/>
      <protection/>
    </xf>
    <xf numFmtId="164" fontId="50" fillId="0" borderId="0" xfId="15" applyNumberFormat="1" applyFont="1" applyAlignment="1">
      <alignment vertical="center"/>
    </xf>
    <xf numFmtId="164" fontId="50" fillId="0" borderId="0" xfId="15" applyNumberFormat="1" applyFont="1" applyAlignment="1">
      <alignment horizontal="right" vertical="center"/>
    </xf>
    <xf numFmtId="164" fontId="50" fillId="0" borderId="0" xfId="15" applyNumberFormat="1" applyFont="1" applyBorder="1" applyAlignment="1">
      <alignment vertical="center"/>
    </xf>
    <xf numFmtId="41" fontId="49" fillId="0" borderId="0" xfId="15" applyNumberFormat="1" applyFont="1" applyAlignment="1">
      <alignment horizontal="right" vertical="center"/>
    </xf>
    <xf numFmtId="41" fontId="49" fillId="0" borderId="0" xfId="15" applyNumberFormat="1" applyFont="1" applyBorder="1" applyAlignment="1">
      <alignment vertical="center"/>
    </xf>
    <xf numFmtId="0" fontId="51" fillId="0" borderId="0" xfId="23" applyFont="1" applyAlignment="1">
      <alignment horizontal="left" vertical="center" wrapText="1" indent="3"/>
      <protection/>
    </xf>
    <xf numFmtId="164" fontId="51" fillId="0" borderId="0" xfId="15" applyNumberFormat="1" applyFont="1" applyAlignment="1">
      <alignment vertical="center"/>
    </xf>
    <xf numFmtId="41" fontId="50" fillId="0" borderId="16" xfId="15" applyNumberFormat="1" applyFont="1" applyBorder="1" applyAlignment="1">
      <alignment horizontal="right" vertical="center"/>
    </xf>
    <xf numFmtId="41" fontId="50" fillId="0" borderId="0" xfId="15" applyNumberFormat="1" applyFont="1" applyBorder="1" applyAlignment="1">
      <alignment vertical="center"/>
    </xf>
    <xf numFmtId="164" fontId="51" fillId="0" borderId="0" xfId="15" applyNumberFormat="1" applyFont="1" applyAlignment="1">
      <alignment horizontal="right" vertical="center"/>
    </xf>
    <xf numFmtId="0" fontId="51" fillId="0" borderId="0" xfId="23" applyFont="1" applyAlignment="1">
      <alignment vertical="center"/>
      <protection/>
    </xf>
    <xf numFmtId="0" fontId="24" fillId="0" borderId="0" xfId="23" applyFont="1" applyFill="1">
      <alignment/>
      <protection/>
    </xf>
    <xf numFmtId="0" fontId="21" fillId="0" borderId="0" xfId="23" applyFont="1" applyFill="1">
      <alignment/>
      <protection/>
    </xf>
    <xf numFmtId="0" fontId="21" fillId="0" borderId="0" xfId="23" applyFont="1" applyFill="1" applyAlignment="1">
      <alignment horizontal="right"/>
      <protection/>
    </xf>
    <xf numFmtId="0" fontId="53" fillId="0" borderId="0" xfId="23" applyFont="1" applyFill="1" applyAlignment="1">
      <alignment horizontal="right"/>
      <protection/>
    </xf>
    <xf numFmtId="0" fontId="20" fillId="0" borderId="0" xfId="23" applyFont="1" applyFill="1" applyAlignment="1">
      <alignment horizontal="center"/>
      <protection/>
    </xf>
    <xf numFmtId="0" fontId="24" fillId="0" borderId="0" xfId="23" applyFont="1" applyFill="1" applyBorder="1" applyAlignment="1">
      <alignment horizontal="center"/>
      <protection/>
    </xf>
    <xf numFmtId="0" fontId="24" fillId="0" borderId="0" xfId="23" applyFont="1" applyFill="1" applyAlignment="1">
      <alignment horizontal="center" vertical="justify"/>
      <protection/>
    </xf>
    <xf numFmtId="0" fontId="23" fillId="0" borderId="0" xfId="23" applyFont="1" applyBorder="1" applyAlignment="1">
      <alignment horizontal="center" vertical="center" wrapText="1"/>
      <protection/>
    </xf>
    <xf numFmtId="0" fontId="48" fillId="0" borderId="0" xfId="23" applyFont="1" applyFill="1" applyAlignment="1">
      <alignment horizontal="center" vertical="justify"/>
      <protection/>
    </xf>
    <xf numFmtId="0" fontId="22" fillId="0" borderId="0" xfId="23" applyFont="1" applyFill="1" applyBorder="1" applyAlignment="1">
      <alignment horizontal="center"/>
      <protection/>
    </xf>
    <xf numFmtId="0" fontId="21" fillId="0" borderId="0" xfId="23" applyFont="1" applyFill="1" applyBorder="1" applyAlignment="1">
      <alignment horizontal="center" vertical="center" wrapText="1"/>
      <protection/>
    </xf>
    <xf numFmtId="0" fontId="21" fillId="0" borderId="0" xfId="23" applyFont="1" applyFill="1" applyBorder="1" applyAlignment="1">
      <alignment horizontal="center" vertical="justify" wrapText="1"/>
      <protection/>
    </xf>
    <xf numFmtId="0" fontId="53" fillId="0" borderId="0" xfId="23" applyFont="1" applyFill="1" applyBorder="1" applyAlignment="1">
      <alignment horizontal="center" vertical="justify" wrapText="1"/>
      <protection/>
    </xf>
    <xf numFmtId="0" fontId="22" fillId="0" borderId="0" xfId="23" applyFont="1" applyFill="1" applyAlignment="1">
      <alignment horizontal="center" vertical="center"/>
      <protection/>
    </xf>
    <xf numFmtId="14" fontId="24" fillId="0" borderId="0" xfId="23" applyNumberFormat="1" applyFont="1" applyFill="1" applyBorder="1" applyAlignment="1">
      <alignment horizontal="left"/>
      <protection/>
    </xf>
    <xf numFmtId="0" fontId="24" fillId="0" borderId="0" xfId="23" applyFont="1" applyFill="1" applyBorder="1">
      <alignment/>
      <protection/>
    </xf>
    <xf numFmtId="41" fontId="24" fillId="0" borderId="0" xfId="15" applyNumberFormat="1" applyFont="1" applyFill="1" applyBorder="1" applyAlignment="1">
      <alignment/>
    </xf>
    <xf numFmtId="164" fontId="48" fillId="0" borderId="0" xfId="15" applyNumberFormat="1" applyFont="1" applyFill="1" applyBorder="1" applyAlignment="1">
      <alignment/>
    </xf>
    <xf numFmtId="0" fontId="26" fillId="0" borderId="0" xfId="23" applyFont="1" applyFill="1" applyBorder="1" quotePrefix="1">
      <alignment/>
      <protection/>
    </xf>
    <xf numFmtId="0" fontId="22" fillId="0" borderId="0" xfId="23" applyFont="1" applyFill="1" applyBorder="1">
      <alignment/>
      <protection/>
    </xf>
    <xf numFmtId="41" fontId="22" fillId="0" borderId="0" xfId="15" applyNumberFormat="1" applyFont="1" applyFill="1" applyBorder="1" applyAlignment="1">
      <alignment/>
    </xf>
    <xf numFmtId="164" fontId="49" fillId="0" borderId="0" xfId="15" applyNumberFormat="1" applyFont="1" applyFill="1" applyBorder="1" applyAlignment="1">
      <alignment/>
    </xf>
    <xf numFmtId="41" fontId="24" fillId="0" borderId="16" xfId="15" applyNumberFormat="1" applyFont="1" applyFill="1" applyBorder="1" applyAlignment="1">
      <alignment/>
    </xf>
    <xf numFmtId="0" fontId="42" fillId="0" borderId="0" xfId="23" applyFont="1" applyFill="1">
      <alignment/>
      <protection/>
    </xf>
    <xf numFmtId="0" fontId="0" fillId="0" borderId="0" xfId="23" applyFont="1" applyFill="1">
      <alignment/>
      <protection/>
    </xf>
    <xf numFmtId="164" fontId="0" fillId="0" borderId="0" xfId="23" applyNumberFormat="1" applyFont="1" applyFill="1">
      <alignment/>
      <protection/>
    </xf>
    <xf numFmtId="0" fontId="54" fillId="0" borderId="0" xfId="23" applyFont="1" applyFill="1">
      <alignment/>
      <protection/>
    </xf>
    <xf numFmtId="164" fontId="22" fillId="0" borderId="0" xfId="23" applyNumberFormat="1" applyFont="1" applyFill="1" applyBorder="1" applyAlignment="1">
      <alignment vertical="center"/>
      <protection/>
    </xf>
    <xf numFmtId="0" fontId="22" fillId="0" borderId="0" xfId="23" applyFont="1" applyFill="1" applyBorder="1" applyAlignment="1">
      <alignment vertical="center"/>
      <protection/>
    </xf>
    <xf numFmtId="14" fontId="24" fillId="0" borderId="0" xfId="23" applyNumberFormat="1" applyFont="1" applyFill="1" applyBorder="1" applyAlignment="1">
      <alignment horizontal="right"/>
      <protection/>
    </xf>
    <xf numFmtId="0" fontId="48" fillId="0" borderId="0" xfId="23" applyFont="1" applyFill="1" applyBorder="1" applyAlignment="1">
      <alignment horizontal="right"/>
      <protection/>
    </xf>
    <xf numFmtId="164" fontId="22" fillId="0" borderId="0" xfId="15" applyNumberFormat="1" applyFont="1" applyFill="1" applyAlignment="1">
      <alignment horizontal="right"/>
    </xf>
    <xf numFmtId="164" fontId="49" fillId="0" borderId="0" xfId="15" applyNumberFormat="1" applyFont="1" applyFill="1" applyAlignment="1">
      <alignment horizontal="right"/>
    </xf>
    <xf numFmtId="164" fontId="24" fillId="0" borderId="0" xfId="15" applyNumberFormat="1" applyFont="1" applyFill="1" applyAlignment="1">
      <alignment horizontal="right"/>
    </xf>
    <xf numFmtId="41" fontId="24" fillId="0" borderId="16" xfId="15" applyNumberFormat="1" applyFont="1" applyFill="1" applyBorder="1" applyAlignment="1">
      <alignment horizontal="right" vertical="center"/>
    </xf>
    <xf numFmtId="164" fontId="48" fillId="0" borderId="0" xfId="15" applyNumberFormat="1" applyFont="1" applyFill="1" applyAlignment="1">
      <alignment horizontal="right"/>
    </xf>
    <xf numFmtId="0" fontId="48" fillId="0" borderId="0" xfId="23" applyFont="1" applyFill="1" applyAlignment="1">
      <alignment vertical="center"/>
      <protection/>
    </xf>
    <xf numFmtId="0" fontId="49" fillId="0" borderId="0" xfId="23" applyFont="1" applyFill="1">
      <alignment/>
      <protection/>
    </xf>
    <xf numFmtId="0" fontId="49" fillId="0" borderId="0" xfId="23" applyFont="1" applyFill="1" applyBorder="1">
      <alignment/>
      <protection/>
    </xf>
    <xf numFmtId="164" fontId="51" fillId="0" borderId="0" xfId="15" applyNumberFormat="1" applyFont="1" applyFill="1" applyAlignment="1">
      <alignment horizontal="right"/>
    </xf>
    <xf numFmtId="175" fontId="49" fillId="0" borderId="0" xfId="15" applyNumberFormat="1" applyFont="1" applyFill="1" applyAlignment="1">
      <alignment horizontal="right"/>
    </xf>
    <xf numFmtId="176" fontId="49" fillId="0" borderId="0" xfId="15" applyNumberFormat="1" applyFont="1" applyFill="1" applyAlignment="1">
      <alignment horizontal="right"/>
    </xf>
    <xf numFmtId="0" fontId="50" fillId="0" borderId="0" xfId="23" applyFont="1" applyFill="1">
      <alignment/>
      <protection/>
    </xf>
    <xf numFmtId="0" fontId="48" fillId="0" borderId="0" xfId="23" applyFont="1" applyFill="1" applyAlignment="1">
      <alignment horizontal="center" vertical="center"/>
      <protection/>
    </xf>
    <xf numFmtId="0" fontId="48" fillId="0" borderId="0" xfId="23" applyFont="1" applyFill="1" applyBorder="1" applyAlignment="1">
      <alignment horizontal="center"/>
      <protection/>
    </xf>
    <xf numFmtId="0" fontId="48" fillId="0" borderId="2" xfId="23" applyFont="1" applyFill="1" applyBorder="1" applyAlignment="1">
      <alignment horizontal="center" vertical="center"/>
      <protection/>
    </xf>
    <xf numFmtId="164" fontId="48" fillId="0" borderId="2" xfId="15" applyNumberFormat="1" applyFont="1" applyFill="1" applyBorder="1" applyAlignment="1">
      <alignment horizontal="center"/>
    </xf>
    <xf numFmtId="164" fontId="48" fillId="0" borderId="0" xfId="15" applyNumberFormat="1" applyFont="1" applyFill="1" applyAlignment="1">
      <alignment horizontal="center"/>
    </xf>
    <xf numFmtId="0" fontId="48" fillId="0" borderId="0" xfId="23" applyFont="1" applyFill="1">
      <alignment/>
      <protection/>
    </xf>
    <xf numFmtId="164" fontId="50" fillId="0" borderId="16" xfId="15" applyNumberFormat="1" applyFont="1" applyFill="1" applyBorder="1" applyAlignment="1">
      <alignment horizontal="right" vertical="center"/>
    </xf>
    <xf numFmtId="0" fontId="24" fillId="0" borderId="0" xfId="23" applyFont="1" applyAlignment="1">
      <alignment horizontal="right" vertical="center"/>
      <protection/>
    </xf>
    <xf numFmtId="164" fontId="23" fillId="0" borderId="0" xfId="15" applyNumberFormat="1" applyFont="1" applyAlignment="1">
      <alignment/>
    </xf>
    <xf numFmtId="0" fontId="23" fillId="0" borderId="0" xfId="23" applyFont="1" applyAlignment="1">
      <alignment horizontal="left" indent="1"/>
      <protection/>
    </xf>
    <xf numFmtId="0" fontId="22" fillId="0" borderId="0" xfId="23" applyFont="1" applyAlignment="1">
      <alignment horizontal="left"/>
      <protection/>
    </xf>
    <xf numFmtId="0" fontId="49" fillId="0" borderId="0" xfId="23" applyFont="1" applyAlignment="1">
      <alignment horizontal="left" indent="1"/>
      <protection/>
    </xf>
    <xf numFmtId="0" fontId="49" fillId="0" borderId="0" xfId="23" applyFont="1">
      <alignment/>
      <protection/>
    </xf>
    <xf numFmtId="164" fontId="49" fillId="0" borderId="0" xfId="15" applyNumberFormat="1" applyFont="1" applyAlignment="1">
      <alignment/>
    </xf>
    <xf numFmtId="0" fontId="49" fillId="0" borderId="0" xfId="23" applyFont="1" applyAlignment="1">
      <alignment horizontal="left"/>
      <protection/>
    </xf>
    <xf numFmtId="0" fontId="51" fillId="0" borderId="0" xfId="23" applyFont="1" applyAlignment="1" quotePrefix="1">
      <alignment horizontal="left" indent="1"/>
      <protection/>
    </xf>
    <xf numFmtId="0" fontId="51" fillId="0" borderId="0" xfId="23" applyFont="1">
      <alignment/>
      <protection/>
    </xf>
    <xf numFmtId="164" fontId="51" fillId="0" borderId="0" xfId="15" applyNumberFormat="1" applyFont="1" applyAlignment="1">
      <alignment/>
    </xf>
    <xf numFmtId="0" fontId="23" fillId="0" borderId="0" xfId="23" applyFont="1" applyAlignment="1" quotePrefix="1">
      <alignment horizontal="left" indent="1"/>
      <protection/>
    </xf>
    <xf numFmtId="0" fontId="42" fillId="0" borderId="0" xfId="23" applyFont="1" applyAlignment="1">
      <alignment horizontal="left"/>
      <protection/>
    </xf>
    <xf numFmtId="0" fontId="24" fillId="0" borderId="0" xfId="23" applyFont="1" applyAlignment="1">
      <alignment vertical="top"/>
      <protection/>
    </xf>
    <xf numFmtId="0" fontId="20" fillId="0" borderId="0" xfId="23" applyFont="1" applyAlignment="1">
      <alignment horizontal="justify"/>
      <protection/>
    </xf>
    <xf numFmtId="164" fontId="23" fillId="0" borderId="0" xfId="15" applyNumberFormat="1" applyFont="1" applyAlignment="1">
      <alignment horizontal="right" vertical="center"/>
    </xf>
    <xf numFmtId="164" fontId="42" fillId="0" borderId="0" xfId="15" applyNumberFormat="1" applyFont="1" applyBorder="1" applyAlignment="1">
      <alignment horizontal="right" vertical="center"/>
    </xf>
    <xf numFmtId="0" fontId="23" fillId="0" borderId="0" xfId="23" applyFont="1" applyAlignment="1">
      <alignment horizontal="left" vertical="center"/>
      <protection/>
    </xf>
    <xf numFmtId="43" fontId="22" fillId="0" borderId="0" xfId="15" applyFont="1" applyAlignment="1">
      <alignment vertical="center"/>
    </xf>
    <xf numFmtId="164" fontId="24" fillId="0" borderId="0" xfId="23" applyNumberFormat="1" applyFont="1" applyAlignment="1">
      <alignment vertical="center"/>
      <protection/>
    </xf>
    <xf numFmtId="43" fontId="22" fillId="0" borderId="0" xfId="23" applyNumberFormat="1" applyFont="1" applyAlignment="1">
      <alignment vertical="center"/>
      <protection/>
    </xf>
    <xf numFmtId="41" fontId="22" fillId="0" borderId="0" xfId="15" applyNumberFormat="1" applyFont="1" applyAlignment="1">
      <alignment/>
    </xf>
    <xf numFmtId="0" fontId="24" fillId="0" borderId="0" xfId="23" applyFont="1" applyAlignment="1">
      <alignment vertical="center" wrapText="1"/>
      <protection/>
    </xf>
    <xf numFmtId="0" fontId="20" fillId="0" borderId="0" xfId="23" applyFont="1" applyAlignment="1">
      <alignment vertical="center"/>
      <protection/>
    </xf>
    <xf numFmtId="164" fontId="20" fillId="0" borderId="0" xfId="15" applyNumberFormat="1" applyFont="1" applyAlignment="1">
      <alignment vertical="center"/>
    </xf>
    <xf numFmtId="164" fontId="20" fillId="0" borderId="0" xfId="15" applyNumberFormat="1" applyFont="1" applyBorder="1" applyAlignment="1">
      <alignment horizontal="right" vertical="center"/>
    </xf>
    <xf numFmtId="164" fontId="20" fillId="0" borderId="0" xfId="15" applyNumberFormat="1" applyFont="1" applyBorder="1" applyAlignment="1">
      <alignment vertical="center"/>
    </xf>
    <xf numFmtId="164" fontId="20" fillId="0" borderId="0" xfId="15" applyNumberFormat="1" applyFont="1" applyAlignment="1">
      <alignment horizontal="right" vertical="center"/>
    </xf>
    <xf numFmtId="164" fontId="55" fillId="0" borderId="0" xfId="15" applyNumberFormat="1" applyFont="1" applyAlignment="1">
      <alignment horizontal="right" vertical="center"/>
    </xf>
    <xf numFmtId="164" fontId="24" fillId="0" borderId="0" xfId="15" applyNumberFormat="1" applyFont="1" applyAlignment="1">
      <alignment horizontal="right" vertical="center"/>
    </xf>
    <xf numFmtId="164" fontId="48" fillId="0" borderId="0" xfId="15" applyNumberFormat="1" applyFont="1" applyAlignment="1">
      <alignment horizontal="right" vertical="center"/>
    </xf>
    <xf numFmtId="0" fontId="48" fillId="0" borderId="0" xfId="23" applyFont="1" applyAlignment="1">
      <alignment vertical="top"/>
      <protection/>
    </xf>
    <xf numFmtId="41" fontId="22" fillId="0" borderId="0" xfId="23" applyNumberFormat="1" applyFont="1" applyAlignment="1">
      <alignment vertical="center"/>
      <protection/>
    </xf>
    <xf numFmtId="0" fontId="56" fillId="0" borderId="0" xfId="23" applyFont="1" applyAlignment="1">
      <alignment vertical="center"/>
      <protection/>
    </xf>
    <xf numFmtId="164" fontId="22" fillId="0" borderId="0" xfId="15" applyNumberFormat="1" applyFont="1" applyAlignment="1">
      <alignment vertical="center"/>
    </xf>
    <xf numFmtId="164" fontId="22" fillId="0" borderId="0" xfId="15" applyNumberFormat="1" applyFont="1" applyBorder="1" applyAlignment="1">
      <alignment horizontal="right" vertical="center"/>
    </xf>
    <xf numFmtId="41" fontId="22" fillId="0" borderId="0" xfId="15" applyNumberFormat="1" applyFont="1" applyBorder="1" applyAlignment="1">
      <alignment vertical="center"/>
    </xf>
    <xf numFmtId="164" fontId="49" fillId="0" borderId="0" xfId="15" applyNumberFormat="1" applyFont="1" applyFill="1" applyAlignment="1">
      <alignment horizontal="right" vertical="center"/>
    </xf>
    <xf numFmtId="41" fontId="49" fillId="0" borderId="0" xfId="23" applyNumberFormat="1" applyFont="1" applyAlignment="1">
      <alignment vertical="center"/>
      <protection/>
    </xf>
    <xf numFmtId="0" fontId="24" fillId="0" borderId="0" xfId="23" applyFont="1">
      <alignment/>
      <protection/>
    </xf>
    <xf numFmtId="0" fontId="23" fillId="0" borderId="0" xfId="23" applyFont="1" applyFill="1" applyAlignment="1">
      <alignment horizontal="left" vertical="center" indent="3"/>
      <protection/>
    </xf>
    <xf numFmtId="0" fontId="23" fillId="0" borderId="0" xfId="23" applyFont="1" applyFill="1" applyAlignment="1">
      <alignment horizontal="right" vertical="center" indent="3"/>
      <protection/>
    </xf>
    <xf numFmtId="0" fontId="22" fillId="0" borderId="0" xfId="23" applyFont="1" applyFill="1" applyAlignment="1">
      <alignment horizontal="left" vertical="center" indent="3"/>
      <protection/>
    </xf>
    <xf numFmtId="0" fontId="22" fillId="0" borderId="0" xfId="23" applyFont="1" applyBorder="1" applyAlignment="1">
      <alignment horizontal="center"/>
      <protection/>
    </xf>
    <xf numFmtId="0" fontId="26" fillId="0" borderId="17" xfId="23" applyFont="1" applyBorder="1" applyAlignment="1">
      <alignment/>
      <protection/>
    </xf>
    <xf numFmtId="0" fontId="26" fillId="0" borderId="18" xfId="23" applyFont="1" applyBorder="1" applyAlignment="1">
      <alignment/>
      <protection/>
    </xf>
    <xf numFmtId="0" fontId="22" fillId="0" borderId="17" xfId="23" applyFont="1" applyBorder="1" applyAlignment="1">
      <alignment/>
      <protection/>
    </xf>
    <xf numFmtId="0" fontId="22" fillId="0" borderId="18" xfId="23" applyFont="1" applyBorder="1" applyAlignment="1">
      <alignment/>
      <protection/>
    </xf>
    <xf numFmtId="0" fontId="27" fillId="0" borderId="19" xfId="23" applyFont="1" applyBorder="1" applyAlignment="1">
      <alignment/>
      <protection/>
    </xf>
    <xf numFmtId="0" fontId="27" fillId="0" borderId="20" xfId="23" applyFont="1" applyBorder="1" applyAlignment="1">
      <alignment/>
      <protection/>
    </xf>
    <xf numFmtId="0" fontId="23" fillId="0" borderId="19" xfId="23" applyFont="1" applyBorder="1" applyAlignment="1">
      <alignment/>
      <protection/>
    </xf>
    <xf numFmtId="0" fontId="23" fillId="0" borderId="20" xfId="23" applyFont="1" applyBorder="1" applyAlignment="1">
      <alignment/>
      <protection/>
    </xf>
    <xf numFmtId="0" fontId="23" fillId="0" borderId="0" xfId="23" applyFont="1" applyBorder="1" applyAlignment="1">
      <alignment horizontal="center"/>
      <protection/>
    </xf>
    <xf numFmtId="0" fontId="26" fillId="0" borderId="19" xfId="23" applyFont="1" applyBorder="1" applyAlignment="1">
      <alignment/>
      <protection/>
    </xf>
    <xf numFmtId="0" fontId="26" fillId="0" borderId="20" xfId="23" applyFont="1" applyBorder="1" applyAlignment="1">
      <alignment horizontal="center"/>
      <protection/>
    </xf>
    <xf numFmtId="2" fontId="0" fillId="0" borderId="19" xfId="23" applyNumberFormat="1" applyFont="1" applyBorder="1" applyAlignment="1">
      <alignment horizontal="center"/>
      <protection/>
    </xf>
    <xf numFmtId="4" fontId="22" fillId="0" borderId="20" xfId="23" applyNumberFormat="1" applyFont="1" applyBorder="1" applyAlignment="1">
      <alignment horizontal="center"/>
      <protection/>
    </xf>
    <xf numFmtId="10" fontId="22" fillId="0" borderId="19" xfId="26" applyNumberFormat="1" applyFont="1" applyBorder="1" applyAlignment="1">
      <alignment horizontal="center"/>
    </xf>
    <xf numFmtId="2" fontId="22" fillId="0" borderId="0" xfId="23" applyNumberFormat="1" applyFont="1" applyBorder="1" applyAlignment="1">
      <alignment horizontal="center"/>
      <protection/>
    </xf>
    <xf numFmtId="2" fontId="22" fillId="0" borderId="0" xfId="23" applyNumberFormat="1" applyFont="1" applyBorder="1" applyAlignment="1">
      <alignment horizontal="center"/>
      <protection/>
    </xf>
    <xf numFmtId="0" fontId="26" fillId="0" borderId="19" xfId="23" applyFont="1" applyBorder="1" applyAlignment="1">
      <alignment horizontal="center"/>
      <protection/>
    </xf>
    <xf numFmtId="2" fontId="23" fillId="0" borderId="19" xfId="23" applyNumberFormat="1" applyFont="1" applyBorder="1" applyAlignment="1">
      <alignment/>
      <protection/>
    </xf>
    <xf numFmtId="10" fontId="23" fillId="0" borderId="19" xfId="26" applyNumberFormat="1" applyFont="1" applyBorder="1" applyAlignment="1">
      <alignment/>
    </xf>
    <xf numFmtId="2" fontId="22" fillId="0" borderId="19" xfId="23" applyNumberFormat="1" applyFont="1" applyBorder="1" applyAlignment="1">
      <alignment horizontal="center"/>
      <protection/>
    </xf>
    <xf numFmtId="10" fontId="22" fillId="0" borderId="19" xfId="26" applyNumberFormat="1" applyFont="1" applyFill="1" applyBorder="1" applyAlignment="1">
      <alignment horizontal="center"/>
    </xf>
    <xf numFmtId="4" fontId="22" fillId="0" borderId="20" xfId="23" applyNumberFormat="1" applyFont="1" applyFill="1" applyBorder="1" applyAlignment="1">
      <alignment horizontal="center"/>
      <protection/>
    </xf>
    <xf numFmtId="0" fontId="26" fillId="0" borderId="20" xfId="23" applyFont="1" applyBorder="1" applyAlignment="1">
      <alignment/>
      <protection/>
    </xf>
    <xf numFmtId="2" fontId="22" fillId="0" borderId="19" xfId="23" applyNumberFormat="1" applyFont="1" applyBorder="1" applyAlignment="1">
      <alignment/>
      <protection/>
    </xf>
    <xf numFmtId="2" fontId="22" fillId="0" borderId="19" xfId="23" applyNumberFormat="1" applyFont="1" applyFill="1" applyBorder="1" applyAlignment="1">
      <alignment/>
      <protection/>
    </xf>
    <xf numFmtId="0" fontId="26" fillId="0" borderId="20" xfId="23" applyFont="1" applyBorder="1" applyAlignment="1">
      <alignment horizontal="center" vertical="top"/>
      <protection/>
    </xf>
    <xf numFmtId="2" fontId="22" fillId="0" borderId="19" xfId="23" applyNumberFormat="1" applyFont="1" applyBorder="1" applyAlignment="1">
      <alignment horizontal="center" vertical="top"/>
      <protection/>
    </xf>
    <xf numFmtId="2" fontId="22" fillId="0" borderId="19" xfId="23" applyNumberFormat="1" applyFont="1" applyFill="1" applyBorder="1" applyAlignment="1">
      <alignment horizontal="center" vertical="top"/>
      <protection/>
    </xf>
    <xf numFmtId="0" fontId="22" fillId="0" borderId="20" xfId="23" applyFont="1" applyFill="1" applyBorder="1" applyAlignment="1">
      <alignment horizontal="left" vertical="center" indent="3"/>
      <protection/>
    </xf>
    <xf numFmtId="2" fontId="22" fillId="0" borderId="19" xfId="23" applyNumberFormat="1" applyFont="1" applyFill="1" applyBorder="1" applyAlignment="1">
      <alignment horizontal="center"/>
      <protection/>
    </xf>
    <xf numFmtId="2" fontId="22" fillId="0" borderId="0" xfId="23" applyNumberFormat="1" applyFont="1" applyFill="1" applyBorder="1" applyAlignment="1">
      <alignment/>
      <protection/>
    </xf>
    <xf numFmtId="9" fontId="26" fillId="0" borderId="20" xfId="26" applyFont="1" applyBorder="1" applyAlignment="1">
      <alignment horizontal="center"/>
    </xf>
    <xf numFmtId="177" fontId="22" fillId="0" borderId="0" xfId="23" applyNumberFormat="1" applyFont="1" applyBorder="1" applyAlignment="1">
      <alignment horizontal="center"/>
      <protection/>
    </xf>
    <xf numFmtId="2" fontId="22" fillId="0" borderId="19" xfId="23" applyNumberFormat="1" applyFont="1" applyBorder="1" applyAlignment="1">
      <alignment/>
      <protection/>
    </xf>
    <xf numFmtId="10" fontId="22" fillId="0" borderId="19" xfId="26" applyNumberFormat="1" applyFont="1" applyFill="1" applyBorder="1" applyAlignment="1">
      <alignment/>
    </xf>
    <xf numFmtId="0" fontId="22" fillId="0" borderId="19" xfId="23" applyFont="1" applyBorder="1" applyAlignment="1">
      <alignment horizontal="left"/>
      <protection/>
    </xf>
    <xf numFmtId="0" fontId="22" fillId="0" borderId="0" xfId="23" applyFont="1" applyBorder="1" applyAlignment="1">
      <alignment horizontal="left"/>
      <protection/>
    </xf>
    <xf numFmtId="164" fontId="23" fillId="0" borderId="0" xfId="23" applyNumberFormat="1" applyFont="1" applyAlignment="1">
      <alignment horizontal="right"/>
      <protection/>
    </xf>
    <xf numFmtId="0" fontId="22" fillId="0" borderId="20" xfId="23" applyFont="1" applyBorder="1" applyAlignment="1">
      <alignment horizontal="left"/>
      <protection/>
    </xf>
    <xf numFmtId="0" fontId="24" fillId="0" borderId="0" xfId="23" applyFont="1" applyFill="1" applyAlignment="1">
      <alignment horizontal="left" vertical="center" indent="3"/>
      <protection/>
    </xf>
    <xf numFmtId="0" fontId="31" fillId="0" borderId="21" xfId="23" applyFont="1" applyBorder="1" applyAlignment="1">
      <alignment/>
      <protection/>
    </xf>
    <xf numFmtId="0" fontId="26" fillId="0" borderId="22" xfId="23" applyFont="1" applyBorder="1" applyAlignment="1">
      <alignment horizontal="center"/>
      <protection/>
    </xf>
    <xf numFmtId="2" fontId="24" fillId="0" borderId="21" xfId="23" applyNumberFormat="1" applyFont="1" applyBorder="1" applyAlignment="1">
      <alignment horizontal="center"/>
      <protection/>
    </xf>
    <xf numFmtId="4" fontId="22" fillId="0" borderId="22" xfId="23" applyNumberFormat="1" applyFont="1" applyBorder="1" applyAlignment="1">
      <alignment horizontal="center"/>
      <protection/>
    </xf>
    <xf numFmtId="10" fontId="42" fillId="0" borderId="21" xfId="26" applyNumberFormat="1" applyFont="1" applyFill="1" applyBorder="1" applyAlignment="1">
      <alignment horizontal="center"/>
    </xf>
    <xf numFmtId="177" fontId="24" fillId="0" borderId="0" xfId="23" applyNumberFormat="1" applyFont="1" applyBorder="1" applyAlignment="1">
      <alignment horizontal="center"/>
      <protection/>
    </xf>
    <xf numFmtId="0" fontId="26" fillId="0" borderId="0" xfId="23" applyFont="1" applyBorder="1" applyAlignment="1">
      <alignment horizontal="center"/>
      <protection/>
    </xf>
    <xf numFmtId="0" fontId="22" fillId="0" borderId="0" xfId="23" applyFont="1" applyAlignment="1">
      <alignment horizontal="left" vertical="center" wrapText="1"/>
      <protection/>
    </xf>
    <xf numFmtId="0" fontId="22" fillId="0" borderId="0" xfId="23" applyFont="1" applyAlignment="1">
      <alignment horizontal="left" vertical="center" indent="2"/>
      <protection/>
    </xf>
    <xf numFmtId="0" fontId="22" fillId="0" borderId="0" xfId="23" applyFont="1" applyAlignment="1">
      <alignment horizontal="left" vertical="center" wrapText="1" indent="2"/>
      <protection/>
    </xf>
    <xf numFmtId="0" fontId="22" fillId="0" borderId="0" xfId="23" applyFont="1" applyBorder="1" applyAlignment="1">
      <alignment horizontal="left" vertical="center" wrapText="1" indent="2"/>
      <protection/>
    </xf>
    <xf numFmtId="164" fontId="20" fillId="0" borderId="0" xfId="15" applyNumberFormat="1" applyFont="1" applyBorder="1" applyAlignment="1">
      <alignment horizontal="center" vertical="center"/>
    </xf>
    <xf numFmtId="164" fontId="25" fillId="0" borderId="0" xfId="15" applyNumberFormat="1" applyFont="1" applyBorder="1" applyAlignment="1">
      <alignment horizontal="center"/>
    </xf>
    <xf numFmtId="164" fontId="24" fillId="0" borderId="0" xfId="15" applyNumberFormat="1" applyFont="1" applyAlignment="1">
      <alignment horizontal="center"/>
    </xf>
    <xf numFmtId="164" fontId="27" fillId="0" borderId="0" xfId="15" applyNumberFormat="1" applyFont="1" applyAlignment="1">
      <alignment horizontal="center"/>
    </xf>
    <xf numFmtId="49" fontId="4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Alignment="1">
      <alignment horizontal="center" vertical="top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164" fontId="1" fillId="0" borderId="11" xfId="15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/>
    </xf>
    <xf numFmtId="164" fontId="31" fillId="0" borderId="0" xfId="15" applyNumberFormat="1" applyFont="1" applyAlignment="1">
      <alignment horizontal="center"/>
    </xf>
    <xf numFmtId="0" fontId="60" fillId="3" borderId="0" xfId="41" applyFont="1" applyFill="1">
      <alignment/>
      <protection/>
    </xf>
    <xf numFmtId="0" fontId="0" fillId="0" borderId="0" xfId="41">
      <alignment/>
      <protection/>
    </xf>
    <xf numFmtId="0" fontId="0" fillId="3" borderId="0" xfId="41" applyFill="1">
      <alignment/>
      <protection/>
    </xf>
    <xf numFmtId="0" fontId="0" fillId="4" borderId="23" xfId="41" applyFill="1" applyBorder="1">
      <alignment/>
      <protection/>
    </xf>
    <xf numFmtId="0" fontId="0" fillId="5" borderId="24" xfId="41" applyFill="1" applyBorder="1">
      <alignment/>
      <protection/>
    </xf>
    <xf numFmtId="0" fontId="61" fillId="6" borderId="25" xfId="41" applyFont="1" applyFill="1" applyBorder="1" applyAlignment="1">
      <alignment horizontal="center"/>
      <protection/>
    </xf>
    <xf numFmtId="0" fontId="5" fillId="7" borderId="26" xfId="41" applyFont="1" applyFill="1" applyBorder="1" applyAlignment="1">
      <alignment horizontal="center"/>
      <protection/>
    </xf>
    <xf numFmtId="0" fontId="61" fillId="6" borderId="26" xfId="41" applyFont="1" applyFill="1" applyBorder="1" applyAlignment="1">
      <alignment horizontal="center"/>
      <protection/>
    </xf>
    <xf numFmtId="0" fontId="61" fillId="6" borderId="27" xfId="41" applyFont="1" applyFill="1" applyBorder="1" applyAlignment="1">
      <alignment horizontal="center"/>
      <protection/>
    </xf>
    <xf numFmtId="0" fontId="0" fillId="5" borderId="28" xfId="41" applyFill="1" applyBorder="1">
      <alignment/>
      <protection/>
    </xf>
    <xf numFmtId="0" fontId="0" fillId="4" borderId="29" xfId="41" applyFill="1" applyBorder="1">
      <alignment/>
      <protection/>
    </xf>
    <xf numFmtId="0" fontId="0" fillId="5" borderId="29" xfId="41" applyFill="1" applyBorder="1">
      <alignment/>
      <protection/>
    </xf>
    <xf numFmtId="0" fontId="0" fillId="4" borderId="30" xfId="41" applyFill="1" applyBorder="1">
      <alignment/>
      <protection/>
    </xf>
    <xf numFmtId="0" fontId="4" fillId="0" borderId="0" xfId="0" applyFont="1" applyAlignment="1">
      <alignment horizontal="center" vertical="top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2" fillId="0" borderId="15" xfId="23" applyFont="1" applyBorder="1" applyAlignment="1">
      <alignment horizontal="center" vertical="center"/>
      <protection/>
    </xf>
    <xf numFmtId="0" fontId="24" fillId="0" borderId="33" xfId="23" applyFont="1" applyBorder="1" applyAlignment="1">
      <alignment horizontal="right"/>
      <protection/>
    </xf>
    <xf numFmtId="0" fontId="25" fillId="0" borderId="0" xfId="23" applyFont="1" applyBorder="1" applyAlignment="1">
      <alignment horizontal="center"/>
      <protection/>
    </xf>
    <xf numFmtId="0" fontId="24" fillId="0" borderId="0" xfId="23" applyFont="1" applyBorder="1" applyAlignment="1">
      <alignment horizontal="center"/>
      <protection/>
    </xf>
    <xf numFmtId="0" fontId="23" fillId="0" borderId="0" xfId="23" applyFont="1" applyAlignment="1">
      <alignment horizontal="center" vertical="center"/>
      <protection/>
    </xf>
    <xf numFmtId="0" fontId="24" fillId="0" borderId="0" xfId="23" applyFont="1" applyBorder="1" applyAlignment="1">
      <alignment horizontal="left" vertical="center" wrapText="1"/>
      <protection/>
    </xf>
    <xf numFmtId="0" fontId="47" fillId="0" borderId="0" xfId="0" applyFont="1" applyAlignment="1">
      <alignment horizontal="left" vertical="center" wrapText="1"/>
    </xf>
    <xf numFmtId="0" fontId="22" fillId="0" borderId="0" xfId="23" applyFont="1" applyFill="1" applyBorder="1" applyAlignment="1">
      <alignment horizontal="center" vertical="center" wrapText="1"/>
      <protection/>
    </xf>
    <xf numFmtId="0" fontId="24" fillId="0" borderId="0" xfId="23" applyFont="1" applyFill="1" applyBorder="1" applyAlignment="1">
      <alignment horizontal="center" vertical="center" wrapText="1"/>
      <protection/>
    </xf>
    <xf numFmtId="0" fontId="24" fillId="0" borderId="15" xfId="23" applyFont="1" applyFill="1" applyBorder="1" applyAlignment="1">
      <alignment horizontal="center" vertical="center" wrapText="1"/>
      <protection/>
    </xf>
    <xf numFmtId="164" fontId="24" fillId="0" borderId="0" xfId="15" applyNumberFormat="1" applyFont="1" applyBorder="1" applyAlignment="1">
      <alignment horizontal="center" vertical="center" wrapText="1"/>
    </xf>
    <xf numFmtId="164" fontId="24" fillId="0" borderId="15" xfId="15" applyNumberFormat="1" applyFont="1" applyBorder="1" applyAlignment="1">
      <alignment horizontal="center" vertical="center" wrapText="1"/>
    </xf>
    <xf numFmtId="164" fontId="24" fillId="0" borderId="0" xfId="15" applyNumberFormat="1" applyFont="1" applyFill="1" applyBorder="1" applyAlignment="1">
      <alignment horizontal="center" vertical="center" wrapText="1"/>
    </xf>
    <xf numFmtId="164" fontId="24" fillId="0" borderId="15" xfId="15" applyNumberFormat="1" applyFont="1" applyFill="1" applyBorder="1" applyAlignment="1">
      <alignment horizontal="center" vertical="center" wrapText="1"/>
    </xf>
    <xf numFmtId="0" fontId="24" fillId="0" borderId="0" xfId="24" applyFont="1" applyFill="1" applyAlignment="1">
      <alignment horizontal="justify" vertical="center" wrapText="1"/>
      <protection/>
    </xf>
    <xf numFmtId="0" fontId="0" fillId="0" borderId="0" xfId="0" applyAlignment="1">
      <alignment horizontal="justify" vertical="center" wrapText="1"/>
    </xf>
    <xf numFmtId="0" fontId="22" fillId="0" borderId="0" xfId="24" applyFont="1" applyFill="1" applyAlignment="1">
      <alignment vertical="justify" wrapText="1"/>
      <protection/>
    </xf>
    <xf numFmtId="0" fontId="0" fillId="0" borderId="0" xfId="24" applyFont="1" applyFill="1" applyAlignment="1">
      <alignment vertical="justify" wrapText="1"/>
      <protection/>
    </xf>
    <xf numFmtId="0" fontId="49" fillId="0" borderId="0" xfId="23" applyFont="1" applyAlignment="1">
      <alignment horizontal="justify" vertical="center"/>
      <protection/>
    </xf>
    <xf numFmtId="0" fontId="48" fillId="0" borderId="0" xfId="23" applyFont="1" applyFill="1" applyBorder="1" applyAlignment="1">
      <alignment horizontal="center" vertical="center"/>
      <protection/>
    </xf>
    <xf numFmtId="0" fontId="48" fillId="0" borderId="15" xfId="23" applyFont="1" applyFill="1" applyBorder="1" applyAlignment="1">
      <alignment horizontal="center" vertical="center"/>
      <protection/>
    </xf>
    <xf numFmtId="164" fontId="48" fillId="0" borderId="15" xfId="15" applyNumberFormat="1" applyFont="1" applyFill="1" applyBorder="1" applyAlignment="1">
      <alignment horizontal="center"/>
    </xf>
    <xf numFmtId="0" fontId="24" fillId="0" borderId="0" xfId="23" applyFont="1" applyAlignment="1">
      <alignment horizontal="justify"/>
      <protection/>
    </xf>
    <xf numFmtId="0" fontId="22" fillId="0" borderId="0" xfId="23" applyFont="1" applyAlignment="1">
      <alignment horizontal="justify"/>
      <protection/>
    </xf>
    <xf numFmtId="0" fontId="48" fillId="0" borderId="0" xfId="23" applyFont="1" applyAlignment="1">
      <alignment horizontal="justify" vertical="center"/>
      <protection/>
    </xf>
    <xf numFmtId="0" fontId="24" fillId="0" borderId="11" xfId="23" applyFont="1" applyBorder="1" applyAlignment="1">
      <alignment horizontal="center"/>
      <protection/>
    </xf>
    <xf numFmtId="14" fontId="24" fillId="0" borderId="34" xfId="23" applyNumberFormat="1" applyFont="1" applyBorder="1" applyAlignment="1">
      <alignment horizontal="center" wrapText="1"/>
      <protection/>
    </xf>
    <xf numFmtId="14" fontId="24" fillId="0" borderId="35" xfId="23" applyNumberFormat="1" applyFont="1" applyBorder="1" applyAlignment="1">
      <alignment horizontal="center" wrapText="1"/>
      <protection/>
    </xf>
    <xf numFmtId="14" fontId="24" fillId="0" borderId="11" xfId="23" applyNumberFormat="1" applyFont="1" applyBorder="1" applyAlignment="1">
      <alignment horizontal="center"/>
      <protection/>
    </xf>
    <xf numFmtId="0" fontId="24" fillId="0" borderId="24" xfId="23" applyFont="1" applyBorder="1" applyAlignment="1">
      <alignment horizontal="left"/>
      <protection/>
    </xf>
    <xf numFmtId="0" fontId="42" fillId="0" borderId="24" xfId="23" applyFont="1" applyBorder="1" applyAlignment="1">
      <alignment horizontal="left"/>
      <protection/>
    </xf>
    <xf numFmtId="0" fontId="22" fillId="0" borderId="24" xfId="23" applyFont="1" applyBorder="1" applyAlignment="1">
      <alignment horizontal="left"/>
      <protection/>
    </xf>
    <xf numFmtId="0" fontId="22" fillId="0" borderId="19" xfId="23" applyFont="1" applyBorder="1" applyAlignment="1">
      <alignment horizontal="center"/>
      <protection/>
    </xf>
    <xf numFmtId="0" fontId="22" fillId="0" borderId="0" xfId="23" applyFont="1" applyBorder="1" applyAlignment="1">
      <alignment horizontal="center"/>
      <protection/>
    </xf>
    <xf numFmtId="0" fontId="22" fillId="0" borderId="20" xfId="23" applyFont="1" applyBorder="1" applyAlignment="1">
      <alignment horizontal="center"/>
      <protection/>
    </xf>
    <xf numFmtId="0" fontId="22" fillId="0" borderId="24" xfId="23" applyFont="1" applyBorder="1" applyAlignment="1">
      <alignment horizontal="left" wrapText="1"/>
      <protection/>
    </xf>
    <xf numFmtId="0" fontId="22" fillId="0" borderId="19" xfId="23" applyFont="1" applyBorder="1" applyAlignment="1">
      <alignment horizontal="left" wrapText="1"/>
      <protection/>
    </xf>
    <xf numFmtId="0" fontId="22" fillId="0" borderId="0" xfId="23" applyFont="1" applyBorder="1" applyAlignment="1">
      <alignment horizontal="left" wrapText="1"/>
      <protection/>
    </xf>
    <xf numFmtId="0" fontId="22" fillId="0" borderId="20" xfId="23" applyFont="1" applyBorder="1" applyAlignment="1">
      <alignment horizontal="left" wrapText="1"/>
      <protection/>
    </xf>
    <xf numFmtId="0" fontId="22" fillId="0" borderId="19" xfId="23" applyFont="1" applyBorder="1" applyAlignment="1">
      <alignment horizontal="center" wrapText="1"/>
      <protection/>
    </xf>
    <xf numFmtId="0" fontId="22" fillId="0" borderId="0" xfId="23" applyFont="1" applyBorder="1" applyAlignment="1">
      <alignment horizontal="center" wrapText="1"/>
      <protection/>
    </xf>
    <xf numFmtId="0" fontId="22" fillId="0" borderId="20" xfId="23" applyFont="1" applyBorder="1" applyAlignment="1">
      <alignment horizontal="center" wrapText="1"/>
      <protection/>
    </xf>
    <xf numFmtId="0" fontId="24" fillId="0" borderId="19" xfId="23" applyFont="1" applyBorder="1" applyAlignment="1">
      <alignment horizontal="left"/>
      <protection/>
    </xf>
    <xf numFmtId="0" fontId="24" fillId="0" borderId="0" xfId="23" applyFont="1" applyBorder="1" applyAlignment="1">
      <alignment horizontal="left"/>
      <protection/>
    </xf>
    <xf numFmtId="0" fontId="24" fillId="0" borderId="20" xfId="23" applyFont="1" applyBorder="1" applyAlignment="1">
      <alignment horizontal="left"/>
      <protection/>
    </xf>
    <xf numFmtId="0" fontId="24" fillId="0" borderId="0" xfId="23" applyFont="1" applyAlignment="1">
      <alignment horizontal="center" vertical="center"/>
      <protection/>
    </xf>
    <xf numFmtId="164" fontId="24" fillId="0" borderId="0" xfId="15" applyNumberFormat="1" applyFont="1" applyBorder="1" applyAlignment="1">
      <alignment horizontal="center" vertical="center"/>
    </xf>
    <xf numFmtId="0" fontId="37" fillId="0" borderId="28" xfId="23" applyFont="1" applyBorder="1" applyAlignment="1">
      <alignment horizontal="left"/>
      <protection/>
    </xf>
    <xf numFmtId="0" fontId="23" fillId="0" borderId="0" xfId="23" applyFont="1" applyBorder="1" applyAlignment="1">
      <alignment horizontal="center" vertical="center" wrapText="1"/>
      <protection/>
    </xf>
    <xf numFmtId="0" fontId="0" fillId="0" borderId="0" xfId="0" applyAlignment="1" applyProtection="1">
      <alignment/>
      <protection hidden="1" locked="0"/>
    </xf>
  </cellXfs>
  <cellStyles count="3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ader1" xfId="20"/>
    <cellStyle name="Header2" xfId="21"/>
    <cellStyle name="Hyperlink" xfId="22"/>
    <cellStyle name="Normal_6. Thuyet minh BCTC  - 2006" xfId="23"/>
    <cellStyle name="Normal_6. TMBCTC 2005" xfId="24"/>
    <cellStyle name="Normal_BS&amp;PL 2005 NT" xfId="25"/>
    <cellStyle name="Percent" xfId="26"/>
    <cellStyle name="똿뗦먛귟 [0.00]_PRODUCT DETAIL Q1" xfId="27"/>
    <cellStyle name="똿뗦먛귟_PRODUCT DETAIL Q1" xfId="28"/>
    <cellStyle name="믅됞 [0.00]_PRODUCT DETAIL Q1" xfId="29"/>
    <cellStyle name="믅됞_PRODUCT DETAIL Q1" xfId="30"/>
    <cellStyle name="백분율_95" xfId="31"/>
    <cellStyle name="뷭?_BOOKSHIP" xfId="32"/>
    <cellStyle name="一般_Book1" xfId="33"/>
    <cellStyle name="千分位[0]_Book1" xfId="34"/>
    <cellStyle name="千分位_Book1" xfId="35"/>
    <cellStyle name="콤마 [0]_1202" xfId="36"/>
    <cellStyle name="콤마_1202" xfId="37"/>
    <cellStyle name="통화 [0]_1202" xfId="38"/>
    <cellStyle name="통화_1202" xfId="39"/>
    <cellStyle name="표준_(정보부문)월별인원계획" xfId="40"/>
    <cellStyle name="표준_kc-elec system check list" xfId="41"/>
    <cellStyle name="貨幣 [0]_Book1" xfId="42"/>
    <cellStyle name="貨幣_Book1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2\New%20Folder\LCTT.30.09.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huyet%20minh%20BCTC%2009.20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uan\Desktop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TDC in"/>
      <sheetName val="BS 15 in"/>
      <sheetName val="PL 15in"/>
      <sheetName val="DC.BS ho tro"/>
      <sheetName val="DC.PL ho tro"/>
      <sheetName val="Sheet1"/>
      <sheetName val="LCTTe TT"/>
      <sheetName val="LCTTe GT"/>
      <sheetName val="Thuyet minh"/>
      <sheetName val="TSCD HH"/>
      <sheetName val="Nguon von"/>
      <sheetName val="00000000"/>
    </sheetNames>
    <sheetDataSet>
      <sheetData sheetId="2">
        <row r="1">
          <cell r="A1" t="str">
            <v>C«ng ty cp sara viÖt nam</v>
          </cell>
        </row>
        <row r="2">
          <cell r="A2" t="str">
            <v>P205 A5 K§T §¹i Kim - §Þnh C«ng - Hoµng Mai - Hµ Néi</v>
          </cell>
        </row>
        <row r="3">
          <cell r="A3" t="str">
            <v>Tel:   (84 - 04) 6 413 757     Fax: (84 - 04) 6 413 575</v>
          </cell>
        </row>
        <row r="45">
          <cell r="G45" t="str">
            <v>C«ng ty cp sara viÖt nam</v>
          </cell>
        </row>
        <row r="54">
          <cell r="G54" t="str">
            <v>NguyÔn ThÕ S¬n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TDC in"/>
      <sheetName val="BS 15 in"/>
      <sheetName val="PL 15in"/>
      <sheetName val="DC.BS ho tro"/>
      <sheetName val="DC.PL ho tro"/>
      <sheetName val="LCTTe TT"/>
      <sheetName val="LCTTe GT"/>
      <sheetName val="Thuyet minh"/>
      <sheetName val="TSCD HH"/>
      <sheetName val="Nguon von"/>
      <sheetName val="00000000"/>
    </sheetNames>
    <sheetDataSet>
      <sheetData sheetId="2">
        <row r="1">
          <cell r="A1" t="str">
            <v>C«ng ty cp sara viÖt nam</v>
          </cell>
        </row>
        <row r="2">
          <cell r="A2" t="str">
            <v>P205 A5 K§T §¹i Kim - §Þnh C«ng - Hoµng Mai - Hµ Néi</v>
          </cell>
        </row>
        <row r="3">
          <cell r="A3" t="str">
            <v>Tel:   (84 - 04) 6 413 757     Fax: (84 - 04) 6 413 575</v>
          </cell>
        </row>
        <row r="54">
          <cell r="G54" t="str">
            <v>NguyÔn ThÕ S¬n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T  Q4 Phan tach"/>
    </sheetNames>
    <sheetDataSet>
      <sheetData sheetId="1">
        <row r="72">
          <cell r="E72">
            <v>1652502396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39"/>
  <sheetViews>
    <sheetView workbookViewId="0" topLeftCell="A1">
      <selection activeCell="A10" sqref="A10"/>
    </sheetView>
  </sheetViews>
  <sheetFormatPr defaultColWidth="9.140625" defaultRowHeight="12.75"/>
  <cols>
    <col min="1" max="1" width="43.57421875" style="0" customWidth="1"/>
    <col min="2" max="2" width="6.7109375" style="0" customWidth="1"/>
    <col min="3" max="3" width="7.421875" style="0" customWidth="1"/>
    <col min="4" max="4" width="19.421875" style="0" customWidth="1"/>
    <col min="5" max="5" width="16.8515625" style="0" customWidth="1"/>
    <col min="6" max="6" width="11.7109375" style="0" bestFit="1" customWidth="1"/>
  </cols>
  <sheetData>
    <row r="2" spans="1:5" ht="12.75">
      <c r="A2" s="1" t="s">
        <v>0</v>
      </c>
      <c r="B2" s="1"/>
      <c r="C2" s="1"/>
      <c r="D2" s="551" t="s">
        <v>1</v>
      </c>
      <c r="E2" s="551"/>
    </row>
    <row r="3" spans="1:5" ht="12.75">
      <c r="A3" s="3" t="s">
        <v>2</v>
      </c>
      <c r="B3" s="1"/>
      <c r="C3" s="1"/>
      <c r="D3" s="552" t="s">
        <v>3</v>
      </c>
      <c r="E3" s="552"/>
    </row>
    <row r="4" spans="1:5" ht="12.75">
      <c r="A4" s="4" t="s">
        <v>4</v>
      </c>
      <c r="B4" s="5"/>
      <c r="C4" s="5"/>
      <c r="D4" s="6"/>
      <c r="E4" s="6"/>
    </row>
    <row r="5" spans="1:5" ht="12.75">
      <c r="A5" s="4"/>
      <c r="B5" s="5"/>
      <c r="C5" s="5"/>
      <c r="D5" s="553" t="s">
        <v>5</v>
      </c>
      <c r="E5" s="553"/>
    </row>
    <row r="6" spans="1:5" ht="24.75" customHeight="1">
      <c r="A6" s="554" t="s">
        <v>6</v>
      </c>
      <c r="B6" s="554"/>
      <c r="C6" s="554"/>
      <c r="D6" s="554"/>
      <c r="E6" s="554"/>
    </row>
    <row r="7" spans="1:5" ht="18" customHeight="1">
      <c r="A7" s="548" t="s">
        <v>7</v>
      </c>
      <c r="B7" s="548"/>
      <c r="C7" s="548"/>
      <c r="D7" s="548"/>
      <c r="E7" s="548"/>
    </row>
    <row r="8" spans="1:5" ht="18" customHeight="1">
      <c r="A8" s="7"/>
      <c r="B8" s="7"/>
      <c r="C8" s="7"/>
      <c r="D8" s="549" t="s">
        <v>8</v>
      </c>
      <c r="E8" s="550"/>
    </row>
    <row r="9" spans="1:5" ht="25.5">
      <c r="A9" s="8" t="s">
        <v>9</v>
      </c>
      <c r="B9" s="8" t="s">
        <v>10</v>
      </c>
      <c r="C9" s="8" t="s">
        <v>11</v>
      </c>
      <c r="D9" s="8" t="s">
        <v>12</v>
      </c>
      <c r="E9" s="8" t="s">
        <v>13</v>
      </c>
    </row>
    <row r="10" spans="1:5" ht="19.5" customHeight="1">
      <c r="A10" s="9" t="s">
        <v>14</v>
      </c>
      <c r="B10" s="10" t="s">
        <v>15</v>
      </c>
      <c r="C10" s="9" t="s">
        <v>16</v>
      </c>
      <c r="D10" s="11">
        <f>2833642780+15000000</f>
        <v>2848642780</v>
      </c>
      <c r="E10" s="11">
        <v>4423425444</v>
      </c>
    </row>
    <row r="11" spans="1:5" ht="19.5" customHeight="1">
      <c r="A11" s="12" t="s">
        <v>17</v>
      </c>
      <c r="B11" s="12" t="s">
        <v>18</v>
      </c>
      <c r="C11" s="12"/>
      <c r="D11" s="13"/>
      <c r="E11" s="13"/>
    </row>
    <row r="12" spans="1:5" ht="19.5" customHeight="1">
      <c r="A12" s="14" t="s">
        <v>19</v>
      </c>
      <c r="B12" s="14" t="s">
        <v>20</v>
      </c>
      <c r="C12" s="14" t="s">
        <v>21</v>
      </c>
      <c r="D12" s="15">
        <f>D10-D11</f>
        <v>2848642780</v>
      </c>
      <c r="E12" s="15">
        <f>E10-E11</f>
        <v>4423425444</v>
      </c>
    </row>
    <row r="13" spans="1:5" ht="19.5" customHeight="1">
      <c r="A13" s="16" t="s">
        <v>22</v>
      </c>
      <c r="B13" s="12" t="s">
        <v>23</v>
      </c>
      <c r="C13" s="16" t="s">
        <v>24</v>
      </c>
      <c r="D13" s="13">
        <v>308423873</v>
      </c>
      <c r="E13" s="13">
        <v>1421360998</v>
      </c>
    </row>
    <row r="14" spans="1:5" ht="19.5" customHeight="1">
      <c r="A14" s="14" t="s">
        <v>25</v>
      </c>
      <c r="B14" s="14" t="s">
        <v>26</v>
      </c>
      <c r="C14" s="14"/>
      <c r="D14" s="15">
        <f>D12-D13</f>
        <v>2540218907</v>
      </c>
      <c r="E14" s="15">
        <f>E12-E13</f>
        <v>3002064446</v>
      </c>
    </row>
    <row r="15" spans="1:5" ht="19.5" customHeight="1">
      <c r="A15" s="12" t="s">
        <v>27</v>
      </c>
      <c r="B15" s="12" t="s">
        <v>28</v>
      </c>
      <c r="C15" s="12" t="s">
        <v>29</v>
      </c>
      <c r="D15" s="13">
        <v>231308322</v>
      </c>
      <c r="E15" s="13">
        <v>221017172</v>
      </c>
    </row>
    <row r="16" spans="1:5" ht="19.5" customHeight="1">
      <c r="A16" s="12" t="s">
        <v>30</v>
      </c>
      <c r="B16" s="12" t="s">
        <v>31</v>
      </c>
      <c r="C16" s="12" t="s">
        <v>32</v>
      </c>
      <c r="D16" s="13">
        <v>7341633</v>
      </c>
      <c r="E16" s="13">
        <v>239385146</v>
      </c>
    </row>
    <row r="17" spans="1:5" ht="19.5" customHeight="1">
      <c r="A17" s="12" t="s">
        <v>33</v>
      </c>
      <c r="B17" s="12" t="s">
        <v>34</v>
      </c>
      <c r="C17" s="12"/>
      <c r="D17" s="17">
        <v>0</v>
      </c>
      <c r="E17" s="17">
        <v>0</v>
      </c>
    </row>
    <row r="18" spans="1:5" ht="19.5" customHeight="1">
      <c r="A18" s="12" t="s">
        <v>35</v>
      </c>
      <c r="B18" s="12" t="s">
        <v>36</v>
      </c>
      <c r="C18" s="12"/>
      <c r="D18" s="17">
        <v>0</v>
      </c>
      <c r="E18" s="17">
        <v>0</v>
      </c>
    </row>
    <row r="19" spans="1:5" ht="19.5" customHeight="1">
      <c r="A19" s="12" t="s">
        <v>37</v>
      </c>
      <c r="B19" s="12" t="s">
        <v>38</v>
      </c>
      <c r="C19" s="12" t="s">
        <v>39</v>
      </c>
      <c r="D19" s="13">
        <v>1768962596</v>
      </c>
      <c r="E19" s="13">
        <v>1712998456</v>
      </c>
    </row>
    <row r="20" spans="1:5" ht="19.5" customHeight="1">
      <c r="A20" s="14" t="s">
        <v>40</v>
      </c>
      <c r="B20" s="14" t="s">
        <v>41</v>
      </c>
      <c r="C20" s="14"/>
      <c r="D20" s="15">
        <f>D14+D15-D16-D19</f>
        <v>995223000</v>
      </c>
      <c r="E20" s="15">
        <f>E14+E15-E16-E19</f>
        <v>1270698016</v>
      </c>
    </row>
    <row r="21" spans="1:5" ht="19.5" customHeight="1">
      <c r="A21" s="12" t="s">
        <v>42</v>
      </c>
      <c r="B21" s="12" t="s">
        <v>43</v>
      </c>
      <c r="C21" s="12"/>
      <c r="D21" s="18">
        <v>0</v>
      </c>
      <c r="E21" s="18">
        <v>284620278</v>
      </c>
    </row>
    <row r="22" spans="1:5" ht="19.5" customHeight="1">
      <c r="A22" s="12" t="s">
        <v>44</v>
      </c>
      <c r="B22" s="12" t="s">
        <v>45</v>
      </c>
      <c r="C22" s="12"/>
      <c r="D22" s="18">
        <v>0</v>
      </c>
      <c r="E22" s="18">
        <v>396837333</v>
      </c>
    </row>
    <row r="23" spans="1:5" ht="19.5" customHeight="1">
      <c r="A23" s="14" t="s">
        <v>46</v>
      </c>
      <c r="B23" s="14" t="s">
        <v>47</v>
      </c>
      <c r="C23" s="14"/>
      <c r="D23" s="19">
        <f>+D21-D22</f>
        <v>0</v>
      </c>
      <c r="E23" s="19">
        <f>+E21-E22</f>
        <v>-112217055</v>
      </c>
    </row>
    <row r="24" spans="1:5" ht="19.5" customHeight="1">
      <c r="A24" s="14" t="s">
        <v>48</v>
      </c>
      <c r="B24" s="14" t="s">
        <v>49</v>
      </c>
      <c r="C24" s="14"/>
      <c r="D24" s="15">
        <f>D20+D23</f>
        <v>995223000</v>
      </c>
      <c r="E24" s="15">
        <f>E20+E23</f>
        <v>1158480961</v>
      </c>
    </row>
    <row r="25" spans="1:5" ht="19.5" customHeight="1">
      <c r="A25" s="12" t="s">
        <v>50</v>
      </c>
      <c r="B25" s="12" t="s">
        <v>51</v>
      </c>
      <c r="D25" s="13">
        <v>20706922</v>
      </c>
      <c r="E25" s="13">
        <v>31500000</v>
      </c>
    </row>
    <row r="26" spans="1:5" ht="19.5" customHeight="1">
      <c r="A26" s="12" t="s">
        <v>52</v>
      </c>
      <c r="B26" s="12" t="s">
        <v>53</v>
      </c>
      <c r="C26" s="12"/>
      <c r="D26" s="17">
        <v>0</v>
      </c>
      <c r="E26" s="17">
        <v>0</v>
      </c>
    </row>
    <row r="27" spans="1:5" ht="19.5" customHeight="1">
      <c r="A27" s="14" t="s">
        <v>54</v>
      </c>
      <c r="B27" s="14" t="s">
        <v>55</v>
      </c>
      <c r="C27" s="14"/>
      <c r="D27" s="15">
        <f>D24-D25-D26</f>
        <v>974516078</v>
      </c>
      <c r="E27" s="15">
        <f>E24-E25-E26</f>
        <v>1126980961</v>
      </c>
    </row>
    <row r="28" spans="1:5" ht="19.5" customHeight="1">
      <c r="A28" s="20"/>
      <c r="B28" s="21"/>
      <c r="C28" s="21"/>
      <c r="D28" s="22"/>
      <c r="E28" s="23"/>
    </row>
    <row r="29" spans="1:5" ht="12.75">
      <c r="A29" s="24"/>
      <c r="B29" s="24"/>
      <c r="C29" s="24"/>
      <c r="D29" s="24"/>
      <c r="E29" s="24"/>
    </row>
    <row r="30" spans="4:6" ht="12.75">
      <c r="D30" s="25" t="s">
        <v>56</v>
      </c>
      <c r="F30" s="26"/>
    </row>
    <row r="32" spans="1:5" ht="12.75">
      <c r="A32" s="2" t="s">
        <v>57</v>
      </c>
      <c r="C32" s="551" t="s">
        <v>58</v>
      </c>
      <c r="D32" s="551"/>
      <c r="E32" s="551"/>
    </row>
    <row r="39" spans="1:5" ht="12.75">
      <c r="A39" s="2" t="s">
        <v>59</v>
      </c>
      <c r="C39" s="551" t="s">
        <v>60</v>
      </c>
      <c r="D39" s="551"/>
      <c r="E39" s="551"/>
    </row>
  </sheetData>
  <mergeCells count="8">
    <mergeCell ref="D2:E2"/>
    <mergeCell ref="D3:E3"/>
    <mergeCell ref="D5:E5"/>
    <mergeCell ref="A6:E6"/>
    <mergeCell ref="A7:E7"/>
    <mergeCell ref="D8:E8"/>
    <mergeCell ref="C32:E32"/>
    <mergeCell ref="C39:E3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4"/>
  <sheetViews>
    <sheetView workbookViewId="0" topLeftCell="A4">
      <selection activeCell="A1" sqref="A1:B1"/>
    </sheetView>
  </sheetViews>
  <sheetFormatPr defaultColWidth="9.140625" defaultRowHeight="12.75"/>
  <cols>
    <col min="1" max="1" width="53.7109375" style="0" customWidth="1"/>
    <col min="2" max="2" width="6.421875" style="0" customWidth="1"/>
    <col min="3" max="3" width="7.00390625" style="0" bestFit="1" customWidth="1"/>
    <col min="4" max="4" width="17.28125" style="0" customWidth="1"/>
    <col min="5" max="5" width="17.00390625" style="0" bestFit="1" customWidth="1"/>
    <col min="7" max="7" width="17.7109375" style="0" bestFit="1" customWidth="1"/>
  </cols>
  <sheetData>
    <row r="1" spans="1:5" ht="12.75">
      <c r="A1" s="559" t="s">
        <v>0</v>
      </c>
      <c r="B1" s="559"/>
      <c r="C1" s="1"/>
      <c r="D1" s="551" t="s">
        <v>1</v>
      </c>
      <c r="E1" s="551"/>
    </row>
    <row r="2" spans="1:5" ht="12.75">
      <c r="A2" s="560" t="s">
        <v>2</v>
      </c>
      <c r="B2" s="560"/>
      <c r="C2" s="1"/>
      <c r="D2" s="552" t="s">
        <v>3</v>
      </c>
      <c r="E2" s="552"/>
    </row>
    <row r="3" spans="1:5" ht="12.75">
      <c r="A3" s="556" t="s">
        <v>4</v>
      </c>
      <c r="B3" s="556"/>
      <c r="C3" s="556"/>
      <c r="D3" s="6"/>
      <c r="E3" s="6"/>
    </row>
    <row r="4" spans="1:5" ht="12.75">
      <c r="A4" s="4"/>
      <c r="B4" s="5"/>
      <c r="C4" s="5"/>
      <c r="D4" s="557" t="s">
        <v>61</v>
      </c>
      <c r="E4" s="557"/>
    </row>
    <row r="5" spans="1:5" ht="12.75">
      <c r="A5" s="558" t="s">
        <v>62</v>
      </c>
      <c r="B5" s="558"/>
      <c r="C5" s="558"/>
      <c r="D5" s="558"/>
      <c r="E5" s="558"/>
    </row>
    <row r="6" spans="1:5" ht="12.75">
      <c r="A6" s="558" t="s">
        <v>63</v>
      </c>
      <c r="B6" s="558"/>
      <c r="C6" s="558"/>
      <c r="D6" s="558"/>
      <c r="E6" s="558"/>
    </row>
    <row r="7" spans="1:5" ht="12.75">
      <c r="A7" s="7"/>
      <c r="B7" s="7"/>
      <c r="C7" s="7"/>
      <c r="D7" s="549" t="s">
        <v>64</v>
      </c>
      <c r="E7" s="550"/>
    </row>
    <row r="8" spans="1:5" ht="24">
      <c r="A8" s="27" t="s">
        <v>9</v>
      </c>
      <c r="B8" s="27" t="s">
        <v>65</v>
      </c>
      <c r="C8" s="27" t="s">
        <v>66</v>
      </c>
      <c r="D8" s="27" t="s">
        <v>67</v>
      </c>
      <c r="E8" s="27" t="s">
        <v>68</v>
      </c>
    </row>
    <row r="9" spans="1:5" ht="12.75">
      <c r="A9" s="28" t="s">
        <v>69</v>
      </c>
      <c r="B9" s="29"/>
      <c r="C9" s="29"/>
      <c r="D9" s="29"/>
      <c r="E9" s="29"/>
    </row>
    <row r="10" spans="1:5" ht="12.75">
      <c r="A10" s="30" t="s">
        <v>70</v>
      </c>
      <c r="B10" s="30" t="s">
        <v>71</v>
      </c>
      <c r="C10" s="30"/>
      <c r="D10" s="31">
        <f>D11+D14+D17+D24+D27</f>
        <v>8225437109</v>
      </c>
      <c r="E10" s="31">
        <f>E11+E14+E17+E24+E27</f>
        <v>12952921730</v>
      </c>
    </row>
    <row r="11" spans="1:5" ht="12.75">
      <c r="A11" s="30" t="s">
        <v>72</v>
      </c>
      <c r="B11" s="30" t="s">
        <v>73</v>
      </c>
      <c r="C11" s="30"/>
      <c r="D11" s="31">
        <f>+D12+D13</f>
        <v>394251499</v>
      </c>
      <c r="E11" s="31">
        <f>+E12+E13</f>
        <v>1155966107</v>
      </c>
    </row>
    <row r="12" spans="1:5" ht="12.75">
      <c r="A12" s="32" t="s">
        <v>74</v>
      </c>
      <c r="B12" s="32" t="s">
        <v>75</v>
      </c>
      <c r="C12" s="32" t="s">
        <v>76</v>
      </c>
      <c r="D12" s="33">
        <v>224565040</v>
      </c>
      <c r="E12" s="33">
        <v>1025079546</v>
      </c>
    </row>
    <row r="13" spans="1:5" ht="12.75">
      <c r="A13" s="34" t="s">
        <v>77</v>
      </c>
      <c r="B13" s="32" t="s">
        <v>78</v>
      </c>
      <c r="C13" s="32"/>
      <c r="D13" s="35">
        <v>169686459</v>
      </c>
      <c r="E13" s="35">
        <v>130886561</v>
      </c>
    </row>
    <row r="14" spans="1:5" ht="12.75">
      <c r="A14" s="30" t="s">
        <v>79</v>
      </c>
      <c r="B14" s="30" t="s">
        <v>80</v>
      </c>
      <c r="C14" s="36"/>
      <c r="D14" s="37">
        <f>D15+D16</f>
        <v>0</v>
      </c>
      <c r="E14" s="37">
        <f>E15+E16</f>
        <v>0</v>
      </c>
    </row>
    <row r="15" spans="1:5" ht="12.75">
      <c r="A15" s="32" t="s">
        <v>81</v>
      </c>
      <c r="B15" s="32" t="s">
        <v>82</v>
      </c>
      <c r="C15" s="32"/>
      <c r="D15" s="35">
        <v>0</v>
      </c>
      <c r="E15" s="35"/>
    </row>
    <row r="16" spans="1:5" ht="12.75">
      <c r="A16" s="32" t="s">
        <v>83</v>
      </c>
      <c r="B16" s="32" t="s">
        <v>84</v>
      </c>
      <c r="C16" s="32"/>
      <c r="D16" s="35">
        <v>0</v>
      </c>
      <c r="E16" s="35"/>
    </row>
    <row r="17" spans="1:5" ht="12.75">
      <c r="A17" s="30" t="s">
        <v>85</v>
      </c>
      <c r="B17" s="30" t="s">
        <v>86</v>
      </c>
      <c r="C17" s="30"/>
      <c r="D17" s="31">
        <f>+SUM(D18:D23)</f>
        <v>7191592975</v>
      </c>
      <c r="E17" s="31">
        <f>E18+E19+E20+E21+E22+E23</f>
        <v>11591428404</v>
      </c>
    </row>
    <row r="18" spans="1:5" ht="12.75">
      <c r="A18" s="32" t="s">
        <v>87</v>
      </c>
      <c r="B18" s="32" t="s">
        <v>88</v>
      </c>
      <c r="C18" s="32" t="s">
        <v>89</v>
      </c>
      <c r="D18" s="33">
        <v>1392500797</v>
      </c>
      <c r="E18" s="33">
        <v>2040758571</v>
      </c>
    </row>
    <row r="19" spans="1:5" ht="12.75">
      <c r="A19" s="32" t="s">
        <v>90</v>
      </c>
      <c r="B19" s="32" t="s">
        <v>91</v>
      </c>
      <c r="C19" s="32" t="s">
        <v>92</v>
      </c>
      <c r="D19" s="33">
        <v>720728429</v>
      </c>
      <c r="E19" s="33">
        <v>457146352</v>
      </c>
    </row>
    <row r="20" spans="1:5" ht="12.75">
      <c r="A20" s="32" t="s">
        <v>93</v>
      </c>
      <c r="B20" s="32" t="s">
        <v>94</v>
      </c>
      <c r="C20" s="32"/>
      <c r="D20" s="38">
        <v>0</v>
      </c>
      <c r="E20" s="38"/>
    </row>
    <row r="21" spans="1:5" ht="12.75">
      <c r="A21" s="32" t="s">
        <v>95</v>
      </c>
      <c r="B21" s="32" t="s">
        <v>96</v>
      </c>
      <c r="C21" s="32"/>
      <c r="D21" s="38">
        <v>0</v>
      </c>
      <c r="E21" s="38"/>
    </row>
    <row r="22" spans="1:5" ht="12.75">
      <c r="A22" s="32" t="s">
        <v>97</v>
      </c>
      <c r="B22" s="39" t="s">
        <v>98</v>
      </c>
      <c r="C22" s="32" t="s">
        <v>99</v>
      </c>
      <c r="D22" s="33">
        <v>5078363749</v>
      </c>
      <c r="E22" s="33">
        <f>8551653198+541870283</f>
        <v>9093523481</v>
      </c>
    </row>
    <row r="23" spans="1:5" ht="12.75">
      <c r="A23" s="32" t="s">
        <v>100</v>
      </c>
      <c r="B23" s="32" t="s">
        <v>101</v>
      </c>
      <c r="C23" s="32"/>
      <c r="D23" s="38">
        <v>0</v>
      </c>
      <c r="E23" s="38"/>
    </row>
    <row r="24" spans="1:5" ht="12.75">
      <c r="A24" s="30" t="s">
        <v>102</v>
      </c>
      <c r="B24" s="30" t="s">
        <v>103</v>
      </c>
      <c r="C24" s="30"/>
      <c r="D24" s="40">
        <f>D25+D26</f>
        <v>0</v>
      </c>
      <c r="E24" s="40">
        <f>E25+E26</f>
        <v>0</v>
      </c>
    </row>
    <row r="25" spans="1:5" ht="12.75">
      <c r="A25" s="32" t="s">
        <v>104</v>
      </c>
      <c r="B25" s="32" t="s">
        <v>105</v>
      </c>
      <c r="C25" s="32" t="s">
        <v>106</v>
      </c>
      <c r="D25" s="38">
        <v>0</v>
      </c>
      <c r="E25" s="38">
        <v>0</v>
      </c>
    </row>
    <row r="26" spans="1:5" ht="12.75">
      <c r="A26" s="32" t="s">
        <v>107</v>
      </c>
      <c r="B26" s="32" t="s">
        <v>108</v>
      </c>
      <c r="C26" s="32"/>
      <c r="D26" s="38">
        <v>0</v>
      </c>
      <c r="E26" s="38"/>
    </row>
    <row r="27" spans="1:5" ht="12.75">
      <c r="A27" s="30" t="s">
        <v>109</v>
      </c>
      <c r="B27" s="30" t="s">
        <v>110</v>
      </c>
      <c r="C27" s="30"/>
      <c r="D27" s="31">
        <f>D28+D29+D30+D31</f>
        <v>639592635</v>
      </c>
      <c r="E27" s="31">
        <f>E28+E29+E30+E31</f>
        <v>205527219</v>
      </c>
    </row>
    <row r="28" spans="1:5" ht="12.75">
      <c r="A28" s="32" t="s">
        <v>111</v>
      </c>
      <c r="B28" s="32" t="s">
        <v>112</v>
      </c>
      <c r="C28" s="32"/>
      <c r="D28" s="33">
        <v>60916051</v>
      </c>
      <c r="E28" s="33">
        <v>205527219</v>
      </c>
    </row>
    <row r="29" spans="1:5" ht="12.75">
      <c r="A29" s="32" t="s">
        <v>113</v>
      </c>
      <c r="B29" s="32" t="s">
        <v>114</v>
      </c>
      <c r="C29" s="32"/>
      <c r="D29" s="35">
        <v>156869129</v>
      </c>
      <c r="E29" s="41"/>
    </row>
    <row r="30" spans="1:5" ht="12.75">
      <c r="A30" s="32" t="s">
        <v>115</v>
      </c>
      <c r="B30" s="32" t="s">
        <v>116</v>
      </c>
      <c r="C30" s="32"/>
      <c r="D30" s="41">
        <v>0</v>
      </c>
      <c r="E30" s="41"/>
    </row>
    <row r="31" spans="1:5" ht="12.75">
      <c r="A31" s="32" t="s">
        <v>117</v>
      </c>
      <c r="B31" s="32" t="s">
        <v>118</v>
      </c>
      <c r="C31" s="32" t="s">
        <v>119</v>
      </c>
      <c r="D31" s="35">
        <v>421807455</v>
      </c>
      <c r="E31" s="33"/>
    </row>
    <row r="32" spans="1:5" ht="12.75">
      <c r="A32" s="30" t="s">
        <v>120</v>
      </c>
      <c r="B32" s="30" t="s">
        <v>121</v>
      </c>
      <c r="C32" s="30"/>
      <c r="D32" s="31">
        <f>D33+D39+D50+D53+D58</f>
        <v>19904739344</v>
      </c>
      <c r="E32" s="31">
        <f>E33+E39+E50+E53+E58</f>
        <v>14703002406</v>
      </c>
    </row>
    <row r="33" spans="1:5" ht="12.75">
      <c r="A33" s="30" t="s">
        <v>122</v>
      </c>
      <c r="B33" s="30" t="s">
        <v>123</v>
      </c>
      <c r="C33" s="30"/>
      <c r="D33" s="37">
        <f>D34+D35+D36+D37+D38</f>
        <v>0</v>
      </c>
      <c r="E33" s="37">
        <f>E34+E35+E36+E37+E38</f>
        <v>0</v>
      </c>
    </row>
    <row r="34" spans="1:5" ht="12.75">
      <c r="A34" s="32" t="s">
        <v>124</v>
      </c>
      <c r="B34" s="32" t="s">
        <v>125</v>
      </c>
      <c r="C34" s="32"/>
      <c r="D34" s="35">
        <v>0</v>
      </c>
      <c r="E34" s="35"/>
    </row>
    <row r="35" spans="1:5" ht="12.75">
      <c r="A35" s="32" t="s">
        <v>126</v>
      </c>
      <c r="B35" s="32" t="s">
        <v>127</v>
      </c>
      <c r="C35" s="32"/>
      <c r="D35" s="35">
        <v>0</v>
      </c>
      <c r="E35" s="35"/>
    </row>
    <row r="36" spans="1:5" ht="12.75">
      <c r="A36" s="32" t="s">
        <v>128</v>
      </c>
      <c r="B36" s="32" t="s">
        <v>129</v>
      </c>
      <c r="C36" s="32"/>
      <c r="D36" s="35">
        <v>0</v>
      </c>
      <c r="E36" s="35"/>
    </row>
    <row r="37" spans="1:5" ht="12.75">
      <c r="A37" s="32" t="s">
        <v>130</v>
      </c>
      <c r="B37" s="32" t="s">
        <v>131</v>
      </c>
      <c r="C37" s="32"/>
      <c r="D37" s="35">
        <v>0</v>
      </c>
      <c r="E37" s="35"/>
    </row>
    <row r="38" spans="1:5" ht="12.75">
      <c r="A38" s="32" t="s">
        <v>132</v>
      </c>
      <c r="B38" s="32" t="s">
        <v>133</v>
      </c>
      <c r="C38" s="32"/>
      <c r="D38" s="35">
        <v>0</v>
      </c>
      <c r="E38" s="35"/>
    </row>
    <row r="39" spans="1:5" ht="12.75">
      <c r="A39" s="30" t="s">
        <v>134</v>
      </c>
      <c r="B39" s="30" t="s">
        <v>135</v>
      </c>
      <c r="C39" s="30"/>
      <c r="D39" s="31">
        <f>D40+D43+D46+D49</f>
        <v>19561979869</v>
      </c>
      <c r="E39" s="31">
        <f>E40+E43+E46+E49</f>
        <v>14180434810</v>
      </c>
    </row>
    <row r="40" spans="1:5" ht="12.75">
      <c r="A40" s="32" t="s">
        <v>136</v>
      </c>
      <c r="B40" s="32" t="s">
        <v>137</v>
      </c>
      <c r="C40" s="32" t="s">
        <v>138</v>
      </c>
      <c r="D40" s="33">
        <f>D41+D42</f>
        <v>1947087164</v>
      </c>
      <c r="E40" s="33">
        <f>+E41+E42</f>
        <v>1001899745</v>
      </c>
    </row>
    <row r="41" spans="1:5" ht="12.75">
      <c r="A41" s="32" t="s">
        <v>139</v>
      </c>
      <c r="B41" s="32" t="s">
        <v>140</v>
      </c>
      <c r="C41" s="32"/>
      <c r="D41" s="33">
        <v>2420104948</v>
      </c>
      <c r="E41" s="33">
        <v>1351085515</v>
      </c>
    </row>
    <row r="42" spans="1:5" ht="12.75">
      <c r="A42" s="32" t="s">
        <v>141</v>
      </c>
      <c r="B42" s="32" t="s">
        <v>142</v>
      </c>
      <c r="C42" s="32"/>
      <c r="D42" s="33">
        <v>-473017784</v>
      </c>
      <c r="E42" s="33">
        <v>-349185770</v>
      </c>
    </row>
    <row r="43" spans="1:5" ht="12.75">
      <c r="A43" s="32" t="s">
        <v>143</v>
      </c>
      <c r="B43" s="32" t="s">
        <v>144</v>
      </c>
      <c r="C43" s="32"/>
      <c r="D43" s="38">
        <f>D44+D45</f>
        <v>0</v>
      </c>
      <c r="E43" s="33"/>
    </row>
    <row r="44" spans="1:5" ht="12.75">
      <c r="A44" s="32" t="s">
        <v>139</v>
      </c>
      <c r="B44" s="32" t="s">
        <v>145</v>
      </c>
      <c r="C44" s="32"/>
      <c r="D44" s="38">
        <v>0</v>
      </c>
      <c r="E44" s="33"/>
    </row>
    <row r="45" spans="1:5" ht="12.75">
      <c r="A45" s="32" t="s">
        <v>141</v>
      </c>
      <c r="B45" s="32" t="s">
        <v>146</v>
      </c>
      <c r="C45" s="32"/>
      <c r="D45" s="38">
        <v>0</v>
      </c>
      <c r="E45" s="33"/>
    </row>
    <row r="46" spans="1:5" ht="12.75">
      <c r="A46" s="32" t="s">
        <v>147</v>
      </c>
      <c r="B46" s="32" t="s">
        <v>148</v>
      </c>
      <c r="C46" s="32" t="s">
        <v>149</v>
      </c>
      <c r="D46" s="33">
        <f>D47+D48</f>
        <v>50181824</v>
      </c>
      <c r="E46" s="33">
        <f>+E47+E48</f>
        <v>61090919</v>
      </c>
    </row>
    <row r="47" spans="1:5" ht="12.75">
      <c r="A47" s="32" t="s">
        <v>139</v>
      </c>
      <c r="B47" s="32" t="s">
        <v>150</v>
      </c>
      <c r="C47" s="32"/>
      <c r="D47" s="33">
        <v>130909127</v>
      </c>
      <c r="E47" s="33">
        <v>130909127</v>
      </c>
    </row>
    <row r="48" spans="1:5" ht="12.75">
      <c r="A48" s="32" t="s">
        <v>141</v>
      </c>
      <c r="B48" s="32" t="s">
        <v>151</v>
      </c>
      <c r="C48" s="32"/>
      <c r="D48" s="33">
        <v>-80727303</v>
      </c>
      <c r="E48" s="33">
        <v>-69818208</v>
      </c>
    </row>
    <row r="49" spans="1:5" ht="12.75">
      <c r="A49" s="32" t="s">
        <v>152</v>
      </c>
      <c r="B49" s="32" t="s">
        <v>153</v>
      </c>
      <c r="C49" s="32"/>
      <c r="D49" s="35">
        <v>17564710881</v>
      </c>
      <c r="E49" s="35">
        <v>13117444146</v>
      </c>
    </row>
    <row r="50" spans="1:5" ht="12.75">
      <c r="A50" s="30" t="s">
        <v>154</v>
      </c>
      <c r="B50" s="30" t="s">
        <v>155</v>
      </c>
      <c r="C50" s="30"/>
      <c r="D50" s="40">
        <f>D51+D52</f>
        <v>0</v>
      </c>
      <c r="E50" s="40">
        <f>E51+E52</f>
        <v>0</v>
      </c>
    </row>
    <row r="51" spans="1:5" ht="12.75">
      <c r="A51" s="32" t="s">
        <v>139</v>
      </c>
      <c r="B51" s="32" t="s">
        <v>156</v>
      </c>
      <c r="C51" s="32"/>
      <c r="D51" s="38">
        <v>0</v>
      </c>
      <c r="E51" s="38"/>
    </row>
    <row r="52" spans="1:5" ht="12.75">
      <c r="A52" s="32" t="s">
        <v>141</v>
      </c>
      <c r="B52" s="32" t="s">
        <v>157</v>
      </c>
      <c r="C52" s="32"/>
      <c r="D52" s="38">
        <v>0</v>
      </c>
      <c r="E52" s="38"/>
    </row>
    <row r="53" spans="1:5" ht="12.75">
      <c r="A53" s="30" t="s">
        <v>158</v>
      </c>
      <c r="B53" s="30" t="s">
        <v>159</v>
      </c>
      <c r="C53" s="30"/>
      <c r="D53" s="40">
        <f>D54+D55+D56+D57</f>
        <v>0</v>
      </c>
      <c r="E53" s="40">
        <f>E54+E55+E56+E57</f>
        <v>0</v>
      </c>
    </row>
    <row r="54" spans="1:5" ht="12.75">
      <c r="A54" s="32" t="s">
        <v>160</v>
      </c>
      <c r="B54" s="32" t="s">
        <v>161</v>
      </c>
      <c r="C54" s="32"/>
      <c r="D54" s="38">
        <v>0</v>
      </c>
      <c r="E54" s="38"/>
    </row>
    <row r="55" spans="1:5" ht="12.75">
      <c r="A55" s="32" t="s">
        <v>162</v>
      </c>
      <c r="B55" s="32" t="s">
        <v>163</v>
      </c>
      <c r="C55" s="32"/>
      <c r="D55" s="38">
        <v>0</v>
      </c>
      <c r="E55" s="38"/>
    </row>
    <row r="56" spans="1:5" ht="12.75">
      <c r="A56" s="32" t="s">
        <v>164</v>
      </c>
      <c r="B56" s="32" t="s">
        <v>165</v>
      </c>
      <c r="C56" s="32"/>
      <c r="D56" s="38">
        <v>0</v>
      </c>
      <c r="E56" s="38"/>
    </row>
    <row r="57" spans="1:5" ht="12.75">
      <c r="A57" s="32" t="s">
        <v>166</v>
      </c>
      <c r="B57" s="32" t="s">
        <v>167</v>
      </c>
      <c r="C57" s="32"/>
      <c r="D57" s="38">
        <v>0</v>
      </c>
      <c r="E57" s="38"/>
    </row>
    <row r="58" spans="1:5" ht="12.75">
      <c r="A58" s="30" t="s">
        <v>168</v>
      </c>
      <c r="B58" s="30" t="s">
        <v>169</v>
      </c>
      <c r="C58" s="30"/>
      <c r="D58" s="31">
        <f>D59+D60+D61</f>
        <v>342759475</v>
      </c>
      <c r="E58" s="31">
        <f>E59+E60+E61</f>
        <v>522567596</v>
      </c>
    </row>
    <row r="59" spans="1:5" ht="12.75">
      <c r="A59" s="32" t="s">
        <v>170</v>
      </c>
      <c r="B59" s="32" t="s">
        <v>171</v>
      </c>
      <c r="C59" s="32" t="s">
        <v>172</v>
      </c>
      <c r="D59" s="33">
        <v>342759475</v>
      </c>
      <c r="E59" s="33">
        <v>522567596</v>
      </c>
    </row>
    <row r="60" spans="1:5" ht="12.75">
      <c r="A60" s="32" t="s">
        <v>173</v>
      </c>
      <c r="B60" s="32" t="s">
        <v>174</v>
      </c>
      <c r="C60" s="32"/>
      <c r="D60" s="38">
        <v>0</v>
      </c>
      <c r="E60" s="33"/>
    </row>
    <row r="61" spans="1:5" ht="12.75">
      <c r="A61" s="32" t="s">
        <v>175</v>
      </c>
      <c r="B61" s="32" t="s">
        <v>176</v>
      </c>
      <c r="C61" s="32"/>
      <c r="D61" s="38">
        <v>0</v>
      </c>
      <c r="E61" s="33"/>
    </row>
    <row r="62" spans="1:5" ht="12.75">
      <c r="A62" s="30" t="s">
        <v>177</v>
      </c>
      <c r="B62" s="30" t="s">
        <v>178</v>
      </c>
      <c r="C62" s="30"/>
      <c r="D62" s="31">
        <f>D32+D10</f>
        <v>28130176453</v>
      </c>
      <c r="E62" s="31">
        <f>E32+E10</f>
        <v>27655924136</v>
      </c>
    </row>
    <row r="63" spans="1:5" ht="12.75">
      <c r="A63" s="30" t="s">
        <v>179</v>
      </c>
      <c r="B63" s="32"/>
      <c r="C63" s="32"/>
      <c r="D63" s="32"/>
      <c r="E63" s="32"/>
    </row>
    <row r="64" spans="1:5" ht="12.75">
      <c r="A64" s="30" t="s">
        <v>180</v>
      </c>
      <c r="B64" s="30" t="s">
        <v>181</v>
      </c>
      <c r="C64" s="30"/>
      <c r="D64" s="31">
        <f>D65+D76</f>
        <v>16028679415</v>
      </c>
      <c r="E64" s="31">
        <f>E65+E76</f>
        <v>16528943176</v>
      </c>
    </row>
    <row r="65" spans="1:5" ht="12.75">
      <c r="A65" s="30" t="s">
        <v>182</v>
      </c>
      <c r="B65" s="30" t="s">
        <v>183</v>
      </c>
      <c r="C65" s="30"/>
      <c r="D65" s="31">
        <f>+SUM(D66:D75)</f>
        <v>16028679415</v>
      </c>
      <c r="E65" s="31">
        <f>E66+E67+E68+E69+E70+E71+E72+E73+E74+E75</f>
        <v>16457420176</v>
      </c>
    </row>
    <row r="66" spans="1:5" ht="12.75">
      <c r="A66" s="32" t="s">
        <v>184</v>
      </c>
      <c r="B66" s="32" t="s">
        <v>185</v>
      </c>
      <c r="C66" s="32" t="s">
        <v>186</v>
      </c>
      <c r="D66" s="38">
        <v>0</v>
      </c>
      <c r="E66" s="33">
        <v>24610000</v>
      </c>
    </row>
    <row r="67" spans="1:5" ht="12.75">
      <c r="A67" s="32" t="s">
        <v>187</v>
      </c>
      <c r="B67" s="32" t="s">
        <v>188</v>
      </c>
      <c r="C67" s="32" t="s">
        <v>189</v>
      </c>
      <c r="D67" s="33">
        <v>8061182104</v>
      </c>
      <c r="E67" s="33">
        <v>5932777735</v>
      </c>
    </row>
    <row r="68" spans="1:5" ht="12.75">
      <c r="A68" s="32" t="s">
        <v>190</v>
      </c>
      <c r="B68" s="32" t="s">
        <v>191</v>
      </c>
      <c r="C68" s="32" t="s">
        <v>192</v>
      </c>
      <c r="D68" s="33">
        <v>7462500000</v>
      </c>
      <c r="E68" s="33">
        <v>7666000000</v>
      </c>
    </row>
    <row r="69" spans="1:5" ht="12.75">
      <c r="A69" s="32" t="s">
        <v>193</v>
      </c>
      <c r="B69" s="32" t="s">
        <v>194</v>
      </c>
      <c r="C69" s="32" t="s">
        <v>195</v>
      </c>
      <c r="D69" s="33">
        <v>77957877</v>
      </c>
      <c r="E69" s="33">
        <v>1403509807</v>
      </c>
    </row>
    <row r="70" spans="1:5" ht="12.75">
      <c r="A70" s="32" t="s">
        <v>196</v>
      </c>
      <c r="B70" s="32" t="s">
        <v>197</v>
      </c>
      <c r="C70" s="32"/>
      <c r="D70" s="33">
        <v>160885871</v>
      </c>
      <c r="E70" s="33">
        <v>74940869</v>
      </c>
    </row>
    <row r="71" spans="1:5" ht="12.75">
      <c r="A71" s="32" t="s">
        <v>198</v>
      </c>
      <c r="B71" s="32" t="s">
        <v>199</v>
      </c>
      <c r="C71" s="32" t="s">
        <v>200</v>
      </c>
      <c r="D71" s="38">
        <v>0</v>
      </c>
      <c r="E71" s="33">
        <v>132450621</v>
      </c>
    </row>
    <row r="72" spans="1:5" ht="12.75">
      <c r="A72" s="32" t="s">
        <v>201</v>
      </c>
      <c r="B72" s="32" t="s">
        <v>202</v>
      </c>
      <c r="C72" s="32"/>
      <c r="D72" s="38">
        <v>0</v>
      </c>
      <c r="E72" s="38">
        <v>0</v>
      </c>
    </row>
    <row r="73" spans="1:5" ht="12.75">
      <c r="A73" s="32" t="s">
        <v>203</v>
      </c>
      <c r="B73" s="32" t="s">
        <v>204</v>
      </c>
      <c r="C73" s="32"/>
      <c r="D73" s="38">
        <v>0</v>
      </c>
      <c r="E73" s="38">
        <v>0</v>
      </c>
    </row>
    <row r="74" spans="1:5" ht="12.75">
      <c r="A74" s="32" t="s">
        <v>205</v>
      </c>
      <c r="B74" s="32" t="s">
        <v>206</v>
      </c>
      <c r="C74" s="32" t="s">
        <v>207</v>
      </c>
      <c r="D74" s="33">
        <v>266153563</v>
      </c>
      <c r="E74" s="33">
        <v>1223131144</v>
      </c>
    </row>
    <row r="75" spans="1:5" ht="12.75">
      <c r="A75" s="32" t="s">
        <v>208</v>
      </c>
      <c r="B75" s="32" t="s">
        <v>209</v>
      </c>
      <c r="C75" s="32"/>
      <c r="D75" s="38">
        <v>0</v>
      </c>
      <c r="E75" s="38">
        <v>0</v>
      </c>
    </row>
    <row r="76" spans="1:5" ht="12.75">
      <c r="A76" s="30" t="s">
        <v>210</v>
      </c>
      <c r="B76" s="30" t="s">
        <v>211</v>
      </c>
      <c r="C76" s="30"/>
      <c r="D76" s="40">
        <f>+SUM(D77:D83)</f>
        <v>0</v>
      </c>
      <c r="E76" s="31">
        <f>E77+E78+E79+E80+E81+E82+E83</f>
        <v>71523000</v>
      </c>
    </row>
    <row r="77" spans="1:5" ht="12.75">
      <c r="A77" s="32" t="s">
        <v>212</v>
      </c>
      <c r="B77" s="32" t="s">
        <v>213</v>
      </c>
      <c r="C77" s="32"/>
      <c r="D77" s="35">
        <v>0</v>
      </c>
      <c r="E77" s="38">
        <v>0</v>
      </c>
    </row>
    <row r="78" spans="1:5" ht="12.75">
      <c r="A78" s="32" t="s">
        <v>214</v>
      </c>
      <c r="B78" s="32" t="s">
        <v>215</v>
      </c>
      <c r="C78" s="32"/>
      <c r="D78" s="38">
        <v>0</v>
      </c>
      <c r="E78" s="38">
        <v>0</v>
      </c>
    </row>
    <row r="79" spans="1:5" ht="12.75">
      <c r="A79" s="32" t="s">
        <v>216</v>
      </c>
      <c r="B79" s="32" t="s">
        <v>217</v>
      </c>
      <c r="C79" s="32"/>
      <c r="D79" s="38">
        <v>0</v>
      </c>
      <c r="E79" s="38">
        <v>0</v>
      </c>
    </row>
    <row r="80" spans="1:5" ht="12.75">
      <c r="A80" s="32" t="s">
        <v>218</v>
      </c>
      <c r="B80" s="32" t="s">
        <v>219</v>
      </c>
      <c r="C80" s="32" t="s">
        <v>220</v>
      </c>
      <c r="D80" s="38">
        <v>0</v>
      </c>
      <c r="E80" s="33">
        <v>71523000</v>
      </c>
    </row>
    <row r="81" spans="1:5" ht="12.75">
      <c r="A81" s="32" t="s">
        <v>221</v>
      </c>
      <c r="B81" s="32" t="s">
        <v>222</v>
      </c>
      <c r="C81" s="32"/>
      <c r="D81" s="35">
        <v>0</v>
      </c>
      <c r="E81" s="35">
        <v>0</v>
      </c>
    </row>
    <row r="82" spans="1:5" ht="12.75">
      <c r="A82" s="32" t="s">
        <v>223</v>
      </c>
      <c r="B82" s="32" t="s">
        <v>224</v>
      </c>
      <c r="C82" s="32"/>
      <c r="D82" s="35">
        <v>0</v>
      </c>
      <c r="E82" s="35">
        <v>0</v>
      </c>
    </row>
    <row r="83" spans="1:5" ht="12.75">
      <c r="A83" s="32" t="s">
        <v>225</v>
      </c>
      <c r="B83" s="32" t="s">
        <v>226</v>
      </c>
      <c r="C83" s="32"/>
      <c r="D83" s="35">
        <v>0</v>
      </c>
      <c r="E83" s="35">
        <v>0</v>
      </c>
    </row>
    <row r="84" spans="1:5" ht="12.75">
      <c r="A84" s="30" t="s">
        <v>227</v>
      </c>
      <c r="B84" s="30" t="s">
        <v>228</v>
      </c>
      <c r="C84" s="30"/>
      <c r="D84" s="31">
        <f>D85+D97</f>
        <v>12101497039</v>
      </c>
      <c r="E84" s="31">
        <f>E85+E97</f>
        <v>11126980961</v>
      </c>
    </row>
    <row r="85" spans="1:5" ht="12.75">
      <c r="A85" s="30" t="s">
        <v>229</v>
      </c>
      <c r="B85" s="30" t="s">
        <v>230</v>
      </c>
      <c r="C85" s="30" t="s">
        <v>231</v>
      </c>
      <c r="D85" s="31">
        <f>+SUM(D86:D100)</f>
        <v>12101497039</v>
      </c>
      <c r="E85" s="31">
        <f>E86+E87+E88+E89+E90+E91+E92+E93+E94+E95+E96</f>
        <v>11126980961</v>
      </c>
    </row>
    <row r="86" spans="1:5" ht="12.75">
      <c r="A86" s="32" t="s">
        <v>232</v>
      </c>
      <c r="B86" s="32" t="s">
        <v>233</v>
      </c>
      <c r="C86" s="32"/>
      <c r="D86" s="33">
        <v>10000000000</v>
      </c>
      <c r="E86" s="33">
        <v>10000000000</v>
      </c>
    </row>
    <row r="87" spans="1:5" ht="12.75">
      <c r="A87" s="32" t="s">
        <v>234</v>
      </c>
      <c r="B87" s="32" t="s">
        <v>235</v>
      </c>
      <c r="C87" s="32"/>
      <c r="D87" s="35">
        <v>0</v>
      </c>
      <c r="E87" s="35">
        <v>0</v>
      </c>
    </row>
    <row r="88" spans="1:5" ht="12.75">
      <c r="A88" s="32" t="s">
        <v>236</v>
      </c>
      <c r="B88" s="32" t="s">
        <v>237</v>
      </c>
      <c r="C88" s="32"/>
      <c r="D88" s="35">
        <v>0</v>
      </c>
      <c r="E88" s="35">
        <v>0</v>
      </c>
    </row>
    <row r="89" spans="1:5" ht="12.75">
      <c r="A89" s="32" t="s">
        <v>238</v>
      </c>
      <c r="B89" s="32" t="s">
        <v>239</v>
      </c>
      <c r="C89" s="32"/>
      <c r="D89" s="35">
        <v>0</v>
      </c>
      <c r="E89" s="35">
        <v>0</v>
      </c>
    </row>
    <row r="90" spans="1:5" ht="12.75">
      <c r="A90" s="32" t="s">
        <v>240</v>
      </c>
      <c r="B90" s="32" t="s">
        <v>241</v>
      </c>
      <c r="C90" s="32"/>
      <c r="D90" s="35">
        <v>0</v>
      </c>
      <c r="E90" s="35">
        <v>0</v>
      </c>
    </row>
    <row r="91" spans="1:5" ht="12.75">
      <c r="A91" s="32" t="s">
        <v>242</v>
      </c>
      <c r="B91" s="32" t="s">
        <v>243</v>
      </c>
      <c r="C91" s="32"/>
      <c r="D91" s="35">
        <v>0</v>
      </c>
      <c r="E91" s="35">
        <v>0</v>
      </c>
    </row>
    <row r="92" spans="1:5" ht="12.75">
      <c r="A92" s="32" t="s">
        <v>244</v>
      </c>
      <c r="B92" s="32" t="s">
        <v>245</v>
      </c>
      <c r="C92" s="32"/>
      <c r="D92" s="35">
        <v>0</v>
      </c>
      <c r="E92" s="35">
        <v>0</v>
      </c>
    </row>
    <row r="93" spans="1:5" ht="12.75">
      <c r="A93" s="32" t="s">
        <v>246</v>
      </c>
      <c r="B93" s="32" t="s">
        <v>247</v>
      </c>
      <c r="C93" s="32"/>
      <c r="D93" s="35">
        <v>0</v>
      </c>
      <c r="E93" s="35">
        <v>0</v>
      </c>
    </row>
    <row r="94" spans="1:5" ht="12.75">
      <c r="A94" s="32" t="s">
        <v>248</v>
      </c>
      <c r="B94" s="32" t="s">
        <v>249</v>
      </c>
      <c r="C94" s="32"/>
      <c r="D94" s="35">
        <v>0</v>
      </c>
      <c r="E94" s="35">
        <v>0</v>
      </c>
    </row>
    <row r="95" spans="1:5" ht="12.75">
      <c r="A95" s="32" t="s">
        <v>250</v>
      </c>
      <c r="B95" s="32" t="s">
        <v>251</v>
      </c>
      <c r="C95" s="32"/>
      <c r="D95" s="33">
        <v>2101497039</v>
      </c>
      <c r="E95" s="33">
        <v>1126980961</v>
      </c>
    </row>
    <row r="96" spans="1:5" ht="12.75">
      <c r="A96" s="32" t="s">
        <v>252</v>
      </c>
      <c r="B96" s="32" t="s">
        <v>253</v>
      </c>
      <c r="C96" s="32"/>
      <c r="D96" s="38">
        <v>0</v>
      </c>
      <c r="E96" s="38">
        <v>0</v>
      </c>
    </row>
    <row r="97" spans="1:5" ht="12.75">
      <c r="A97" s="30" t="s">
        <v>254</v>
      </c>
      <c r="B97" s="30" t="s">
        <v>255</v>
      </c>
      <c r="C97" s="30"/>
      <c r="D97" s="40">
        <f>D98+D99+D100</f>
        <v>0</v>
      </c>
      <c r="E97" s="40">
        <f>E98+E99+E100</f>
        <v>0</v>
      </c>
    </row>
    <row r="98" spans="1:5" ht="12.75">
      <c r="A98" s="32" t="s">
        <v>256</v>
      </c>
      <c r="B98" s="32" t="s">
        <v>257</v>
      </c>
      <c r="C98" s="32"/>
      <c r="D98" s="38">
        <v>0</v>
      </c>
      <c r="E98" s="38">
        <v>0</v>
      </c>
    </row>
    <row r="99" spans="1:5" ht="12.75">
      <c r="A99" s="32" t="s">
        <v>258</v>
      </c>
      <c r="B99" s="32" t="s">
        <v>259</v>
      </c>
      <c r="C99" s="32"/>
      <c r="D99" s="38">
        <v>0</v>
      </c>
      <c r="E99" s="38">
        <v>0</v>
      </c>
    </row>
    <row r="100" spans="1:5" ht="12.75">
      <c r="A100" s="32" t="s">
        <v>260</v>
      </c>
      <c r="B100" s="32" t="s">
        <v>261</v>
      </c>
      <c r="C100" s="32"/>
      <c r="D100" s="38">
        <v>0</v>
      </c>
      <c r="E100" s="38">
        <v>0</v>
      </c>
    </row>
    <row r="101" spans="1:7" ht="12.75">
      <c r="A101" s="42" t="s">
        <v>262</v>
      </c>
      <c r="B101" s="42" t="s">
        <v>263</v>
      </c>
      <c r="C101" s="42"/>
      <c r="D101" s="43">
        <f>D84+D64-1</f>
        <v>28130176453</v>
      </c>
      <c r="E101" s="43">
        <f>E84+E64-1</f>
        <v>27655924136</v>
      </c>
      <c r="G101" s="55"/>
    </row>
    <row r="102" spans="1:7" ht="12.75">
      <c r="A102" s="44"/>
      <c r="B102" s="44"/>
      <c r="C102" s="44"/>
      <c r="D102" s="45">
        <f>D101-D62</f>
        <v>0</v>
      </c>
      <c r="E102" s="45">
        <f>E101-E62</f>
        <v>0</v>
      </c>
      <c r="G102" s="26"/>
    </row>
    <row r="103" spans="1:5" ht="12.75">
      <c r="A103" s="46" t="s">
        <v>264</v>
      </c>
      <c r="B103" s="47"/>
      <c r="C103" s="47"/>
      <c r="D103" s="47"/>
      <c r="E103" s="47"/>
    </row>
    <row r="104" spans="1:5" ht="34.5" customHeight="1">
      <c r="A104" s="48" t="s">
        <v>9</v>
      </c>
      <c r="B104" s="48" t="s">
        <v>11</v>
      </c>
      <c r="C104" s="48" t="s">
        <v>265</v>
      </c>
      <c r="D104" s="48" t="s">
        <v>266</v>
      </c>
      <c r="E104" s="49"/>
    </row>
    <row r="105" spans="1:5" ht="12.75">
      <c r="A105" s="32" t="s">
        <v>267</v>
      </c>
      <c r="B105" s="32"/>
      <c r="C105" s="38">
        <v>0</v>
      </c>
      <c r="D105" s="38">
        <v>0</v>
      </c>
      <c r="E105" s="32"/>
    </row>
    <row r="106" spans="1:5" ht="12.75">
      <c r="A106" s="32" t="s">
        <v>268</v>
      </c>
      <c r="B106" s="32"/>
      <c r="C106" s="38">
        <v>0</v>
      </c>
      <c r="D106" s="38">
        <v>0</v>
      </c>
      <c r="E106" s="32"/>
    </row>
    <row r="107" spans="1:5" ht="12.75">
      <c r="A107" s="32" t="s">
        <v>269</v>
      </c>
      <c r="B107" s="32"/>
      <c r="C107" s="38">
        <v>0</v>
      </c>
      <c r="D107" s="38">
        <v>0</v>
      </c>
      <c r="E107" s="32"/>
    </row>
    <row r="108" spans="1:5" ht="12.75">
      <c r="A108" s="32" t="s">
        <v>270</v>
      </c>
      <c r="B108" s="32"/>
      <c r="C108" s="38">
        <v>0</v>
      </c>
      <c r="D108" s="38">
        <v>0</v>
      </c>
      <c r="E108" s="32"/>
    </row>
    <row r="109" spans="1:5" ht="12.75">
      <c r="A109" s="32" t="s">
        <v>271</v>
      </c>
      <c r="B109" s="32"/>
      <c r="C109" s="38">
        <v>0</v>
      </c>
      <c r="D109" s="38">
        <v>0</v>
      </c>
      <c r="E109" s="32"/>
    </row>
    <row r="110" spans="1:5" ht="12.75">
      <c r="A110" s="50" t="s">
        <v>272</v>
      </c>
      <c r="B110" s="50"/>
      <c r="C110" s="51">
        <v>0</v>
      </c>
      <c r="D110" s="51">
        <v>0</v>
      </c>
      <c r="E110" s="50"/>
    </row>
    <row r="111" spans="1:5" ht="12.75">
      <c r="A111" s="24"/>
      <c r="B111" s="24"/>
      <c r="C111" s="52" t="s">
        <v>56</v>
      </c>
      <c r="D111" s="53"/>
      <c r="E111" s="53"/>
    </row>
    <row r="112" spans="1:5" ht="12.75">
      <c r="A112" s="54" t="s">
        <v>273</v>
      </c>
      <c r="B112" s="54"/>
      <c r="C112" s="555" t="s">
        <v>58</v>
      </c>
      <c r="D112" s="555"/>
      <c r="E112" s="555"/>
    </row>
    <row r="118" spans="1:5" ht="12.75">
      <c r="A118" s="56" t="s">
        <v>274</v>
      </c>
      <c r="B118" s="56"/>
      <c r="C118" s="551" t="s">
        <v>60</v>
      </c>
      <c r="D118" s="551"/>
      <c r="E118" s="551"/>
    </row>
    <row r="124" ht="12.75">
      <c r="D124" s="57"/>
    </row>
  </sheetData>
  <mergeCells count="11">
    <mergeCell ref="A1:B1"/>
    <mergeCell ref="D1:E1"/>
    <mergeCell ref="A2:B2"/>
    <mergeCell ref="D2:E2"/>
    <mergeCell ref="D7:E7"/>
    <mergeCell ref="C112:E112"/>
    <mergeCell ref="C118:E118"/>
    <mergeCell ref="A3:C3"/>
    <mergeCell ref="D4:E4"/>
    <mergeCell ref="A5:E5"/>
    <mergeCell ref="A6:E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B31">
      <selection activeCell="A1" sqref="A1:D1"/>
    </sheetView>
  </sheetViews>
  <sheetFormatPr defaultColWidth="9.140625" defaultRowHeight="12.75"/>
  <cols>
    <col min="2" max="2" width="43.8515625" style="0" customWidth="1"/>
    <col min="3" max="4" width="15.7109375" style="0" customWidth="1"/>
    <col min="5" max="5" width="16.7109375" style="0" customWidth="1"/>
    <col min="6" max="6" width="14.57421875" style="0" customWidth="1"/>
    <col min="7" max="7" width="16.421875" style="0" customWidth="1"/>
    <col min="8" max="8" width="14.421875" style="0" customWidth="1"/>
  </cols>
  <sheetData>
    <row r="1" spans="1:8" ht="12.75">
      <c r="A1" s="559" t="s">
        <v>761</v>
      </c>
      <c r="B1" s="559"/>
      <c r="C1" s="559"/>
      <c r="D1" s="559"/>
      <c r="E1" s="2"/>
      <c r="F1" s="58"/>
      <c r="G1" s="551" t="s">
        <v>1</v>
      </c>
      <c r="H1" s="551"/>
    </row>
    <row r="2" spans="1:8" ht="12.75">
      <c r="A2" s="3" t="s">
        <v>2</v>
      </c>
      <c r="B2" s="1"/>
      <c r="C2" s="1"/>
      <c r="D2" s="2"/>
      <c r="E2" s="2"/>
      <c r="F2" s="58"/>
      <c r="G2" s="552" t="s">
        <v>275</v>
      </c>
      <c r="H2" s="552"/>
    </row>
    <row r="3" spans="1:8" ht="12.75">
      <c r="A3" s="4" t="s">
        <v>4</v>
      </c>
      <c r="B3" s="5"/>
      <c r="C3" s="5"/>
      <c r="D3" s="6"/>
      <c r="E3" s="6"/>
      <c r="F3" s="59"/>
      <c r="G3" s="59"/>
      <c r="H3" s="59"/>
    </row>
    <row r="4" spans="1:8" ht="15.75">
      <c r="A4" s="528" t="s">
        <v>276</v>
      </c>
      <c r="B4" s="528"/>
      <c r="C4" s="528"/>
      <c r="D4" s="528"/>
      <c r="E4" s="528"/>
      <c r="F4" s="528"/>
      <c r="G4" s="528"/>
      <c r="H4" s="528"/>
    </row>
    <row r="5" spans="1:8" ht="12.75">
      <c r="A5" s="529" t="s">
        <v>277</v>
      </c>
      <c r="B5" s="529"/>
      <c r="C5" s="529"/>
      <c r="D5" s="529"/>
      <c r="E5" s="529"/>
      <c r="F5" s="529"/>
      <c r="G5" s="529"/>
      <c r="H5" s="529"/>
    </row>
    <row r="6" spans="1:8" ht="12.75">
      <c r="A6" s="530" t="s">
        <v>278</v>
      </c>
      <c r="B6" s="531" t="s">
        <v>279</v>
      </c>
      <c r="C6" s="532" t="s">
        <v>280</v>
      </c>
      <c r="D6" s="532"/>
      <c r="E6" s="532" t="s">
        <v>281</v>
      </c>
      <c r="F6" s="532"/>
      <c r="G6" s="532" t="s">
        <v>282</v>
      </c>
      <c r="H6" s="532"/>
    </row>
    <row r="7" spans="1:8" ht="12.75">
      <c r="A7" s="530"/>
      <c r="B7" s="531" t="s">
        <v>279</v>
      </c>
      <c r="C7" s="60" t="s">
        <v>283</v>
      </c>
      <c r="D7" s="60" t="s">
        <v>284</v>
      </c>
      <c r="E7" s="60" t="s">
        <v>283</v>
      </c>
      <c r="F7" s="60" t="s">
        <v>284</v>
      </c>
      <c r="G7" s="60" t="s">
        <v>283</v>
      </c>
      <c r="H7" s="60" t="s">
        <v>284</v>
      </c>
    </row>
    <row r="8" spans="1:8" ht="12.75">
      <c r="A8" s="61" t="s">
        <v>75</v>
      </c>
      <c r="B8" s="61" t="s">
        <v>285</v>
      </c>
      <c r="C8" s="62">
        <v>983946546</v>
      </c>
      <c r="D8" s="62">
        <v>0</v>
      </c>
      <c r="E8" s="62">
        <v>6148226968</v>
      </c>
      <c r="F8" s="62">
        <v>6907608474</v>
      </c>
      <c r="G8" s="62">
        <v>224565040</v>
      </c>
      <c r="H8" s="62">
        <v>0</v>
      </c>
    </row>
    <row r="9" spans="1:8" ht="12.75">
      <c r="A9" s="63" t="s">
        <v>286</v>
      </c>
      <c r="B9" s="63" t="s">
        <v>287</v>
      </c>
      <c r="C9" s="64">
        <v>983946546</v>
      </c>
      <c r="D9" s="64">
        <v>0</v>
      </c>
      <c r="E9" s="64">
        <v>6148226968</v>
      </c>
      <c r="F9" s="64">
        <v>6907608474</v>
      </c>
      <c r="G9" s="64">
        <v>224565040</v>
      </c>
      <c r="H9" s="64">
        <v>0</v>
      </c>
    </row>
    <row r="10" spans="1:8" ht="12.75">
      <c r="A10" s="65" t="s">
        <v>78</v>
      </c>
      <c r="B10" s="65" t="s">
        <v>288</v>
      </c>
      <c r="C10" s="66">
        <v>130886561</v>
      </c>
      <c r="D10" s="66">
        <v>0</v>
      </c>
      <c r="E10" s="66">
        <v>1501234975</v>
      </c>
      <c r="F10" s="66">
        <v>1462435077</v>
      </c>
      <c r="G10" s="66">
        <v>169686459</v>
      </c>
      <c r="H10" s="66">
        <v>0</v>
      </c>
    </row>
    <row r="11" spans="1:8" ht="12.75">
      <c r="A11" s="63" t="s">
        <v>289</v>
      </c>
      <c r="B11" s="63" t="s">
        <v>287</v>
      </c>
      <c r="C11" s="64">
        <v>130886561</v>
      </c>
      <c r="D11" s="64">
        <v>0</v>
      </c>
      <c r="E11" s="64">
        <v>1501234975</v>
      </c>
      <c r="F11" s="64">
        <v>1462435077</v>
      </c>
      <c r="G11" s="64">
        <v>169686459</v>
      </c>
      <c r="H11" s="64">
        <v>0</v>
      </c>
    </row>
    <row r="12" spans="1:8" ht="12.75">
      <c r="A12" s="63" t="s">
        <v>290</v>
      </c>
      <c r="B12" s="63" t="s">
        <v>291</v>
      </c>
      <c r="C12" s="64">
        <v>114434904</v>
      </c>
      <c r="D12" s="64">
        <v>0</v>
      </c>
      <c r="E12" s="64">
        <v>867190444</v>
      </c>
      <c r="F12" s="64">
        <v>861579577</v>
      </c>
      <c r="G12" s="64">
        <v>120045771</v>
      </c>
      <c r="H12" s="64">
        <v>0</v>
      </c>
    </row>
    <row r="13" spans="1:8" ht="12.75">
      <c r="A13" s="63" t="s">
        <v>292</v>
      </c>
      <c r="B13" s="63" t="s">
        <v>293</v>
      </c>
      <c r="C13" s="64">
        <v>16235514</v>
      </c>
      <c r="D13" s="64">
        <v>0</v>
      </c>
      <c r="E13" s="64">
        <v>634044531</v>
      </c>
      <c r="F13" s="64">
        <v>600855500</v>
      </c>
      <c r="G13" s="64">
        <v>49424545</v>
      </c>
      <c r="H13" s="64">
        <v>0</v>
      </c>
    </row>
    <row r="14" spans="1:8" ht="12.75">
      <c r="A14" s="63" t="s">
        <v>294</v>
      </c>
      <c r="B14" s="63" t="s">
        <v>295</v>
      </c>
      <c r="C14" s="64">
        <v>216143</v>
      </c>
      <c r="D14" s="64">
        <v>0</v>
      </c>
      <c r="E14" s="64">
        <v>0</v>
      </c>
      <c r="F14" s="64">
        <v>0</v>
      </c>
      <c r="G14" s="64">
        <v>216143</v>
      </c>
      <c r="H14" s="64">
        <v>0</v>
      </c>
    </row>
    <row r="15" spans="1:8" ht="12.75">
      <c r="A15" s="65" t="s">
        <v>88</v>
      </c>
      <c r="B15" s="65" t="s">
        <v>296</v>
      </c>
      <c r="C15" s="66">
        <v>0</v>
      </c>
      <c r="D15" s="66">
        <v>5765801553</v>
      </c>
      <c r="E15" s="66">
        <v>3210547385</v>
      </c>
      <c r="F15" s="66">
        <v>3514745035</v>
      </c>
      <c r="G15" s="66">
        <v>0</v>
      </c>
      <c r="H15" s="66">
        <v>6069999203</v>
      </c>
    </row>
    <row r="16" spans="1:8" ht="12.75">
      <c r="A16" s="63" t="s">
        <v>297</v>
      </c>
      <c r="B16" s="63" t="s">
        <v>296</v>
      </c>
      <c r="C16" s="64">
        <v>1875198447</v>
      </c>
      <c r="D16" s="64">
        <v>0</v>
      </c>
      <c r="E16" s="64">
        <v>3004547385</v>
      </c>
      <c r="F16" s="64">
        <v>3487245035</v>
      </c>
      <c r="G16" s="64">
        <v>1392500797</v>
      </c>
      <c r="H16" s="64">
        <v>0</v>
      </c>
    </row>
    <row r="17" spans="1:8" ht="12.75">
      <c r="A17" s="63" t="s">
        <v>298</v>
      </c>
      <c r="B17" s="63" t="s">
        <v>299</v>
      </c>
      <c r="C17" s="64">
        <v>1875198447</v>
      </c>
      <c r="D17" s="64">
        <v>0</v>
      </c>
      <c r="E17" s="64">
        <v>3004547385</v>
      </c>
      <c r="F17" s="64">
        <v>3487245035</v>
      </c>
      <c r="G17" s="64">
        <v>1392500797</v>
      </c>
      <c r="H17" s="64">
        <v>0</v>
      </c>
    </row>
    <row r="18" spans="1:8" ht="12.75">
      <c r="A18" s="63" t="s">
        <v>300</v>
      </c>
      <c r="B18" s="63" t="s">
        <v>301</v>
      </c>
      <c r="C18" s="64">
        <v>1875198447</v>
      </c>
      <c r="D18" s="64">
        <v>0</v>
      </c>
      <c r="E18" s="64">
        <v>3004547385</v>
      </c>
      <c r="F18" s="64">
        <v>3487245035</v>
      </c>
      <c r="G18" s="64">
        <v>1392500797</v>
      </c>
      <c r="H18" s="64">
        <v>0</v>
      </c>
    </row>
    <row r="19" spans="1:8" ht="12.75">
      <c r="A19" s="63" t="s">
        <v>302</v>
      </c>
      <c r="B19" s="63" t="s">
        <v>303</v>
      </c>
      <c r="C19" s="64">
        <v>0</v>
      </c>
      <c r="D19" s="64">
        <v>7641000000</v>
      </c>
      <c r="E19" s="64">
        <v>206000000</v>
      </c>
      <c r="F19" s="64">
        <v>27500000</v>
      </c>
      <c r="G19" s="64">
        <v>0</v>
      </c>
      <c r="H19" s="64">
        <v>7462500000</v>
      </c>
    </row>
    <row r="20" spans="1:8" ht="12.75">
      <c r="A20" s="65" t="s">
        <v>94</v>
      </c>
      <c r="B20" s="65" t="s">
        <v>304</v>
      </c>
      <c r="C20" s="66">
        <v>0</v>
      </c>
      <c r="D20" s="66">
        <v>0</v>
      </c>
      <c r="E20" s="66">
        <v>216208175</v>
      </c>
      <c r="F20" s="66">
        <v>59339046</v>
      </c>
      <c r="G20" s="66">
        <v>156869129</v>
      </c>
      <c r="H20" s="66">
        <v>0</v>
      </c>
    </row>
    <row r="21" spans="1:8" ht="12.75">
      <c r="A21" s="63" t="s">
        <v>305</v>
      </c>
      <c r="B21" s="63" t="s">
        <v>306</v>
      </c>
      <c r="C21" s="64">
        <v>0</v>
      </c>
      <c r="D21" s="64">
        <v>0</v>
      </c>
      <c r="E21" s="64">
        <v>214553017</v>
      </c>
      <c r="F21" s="64">
        <v>59339046</v>
      </c>
      <c r="G21" s="64">
        <v>155213971</v>
      </c>
      <c r="H21" s="64">
        <v>0</v>
      </c>
    </row>
    <row r="22" spans="1:8" ht="12.75">
      <c r="A22" s="63" t="s">
        <v>307</v>
      </c>
      <c r="B22" s="63" t="s">
        <v>308</v>
      </c>
      <c r="C22" s="64">
        <v>0</v>
      </c>
      <c r="D22" s="64">
        <v>0</v>
      </c>
      <c r="E22" s="64">
        <v>1655158</v>
      </c>
      <c r="F22" s="64">
        <v>0</v>
      </c>
      <c r="G22" s="64">
        <v>1655158</v>
      </c>
      <c r="H22" s="64">
        <v>0</v>
      </c>
    </row>
    <row r="23" spans="1:8" ht="12.75">
      <c r="A23" s="65" t="s">
        <v>98</v>
      </c>
      <c r="B23" s="65" t="s">
        <v>309</v>
      </c>
      <c r="C23" s="66">
        <v>8551653198</v>
      </c>
      <c r="D23" s="66">
        <v>0</v>
      </c>
      <c r="E23" s="66">
        <v>494791978</v>
      </c>
      <c r="F23" s="66">
        <v>3968081427</v>
      </c>
      <c r="G23" s="66">
        <v>5078363749</v>
      </c>
      <c r="H23" s="66">
        <v>0</v>
      </c>
    </row>
    <row r="24" spans="1:8" ht="12.75">
      <c r="A24" s="63" t="s">
        <v>310</v>
      </c>
      <c r="B24" s="63" t="s">
        <v>309</v>
      </c>
      <c r="C24" s="64">
        <v>8551653198</v>
      </c>
      <c r="D24" s="64">
        <v>0</v>
      </c>
      <c r="E24" s="64">
        <v>494791978</v>
      </c>
      <c r="F24" s="64">
        <v>3968081427</v>
      </c>
      <c r="G24" s="64">
        <v>5078363749</v>
      </c>
      <c r="H24" s="64">
        <v>0</v>
      </c>
    </row>
    <row r="25" spans="1:8" ht="12.75">
      <c r="A25" s="65" t="s">
        <v>105</v>
      </c>
      <c r="B25" s="65" t="s">
        <v>311</v>
      </c>
      <c r="C25" s="66">
        <v>541870283</v>
      </c>
      <c r="D25" s="66">
        <v>0</v>
      </c>
      <c r="E25" s="66">
        <v>356330000</v>
      </c>
      <c r="F25" s="66">
        <v>476392828</v>
      </c>
      <c r="G25" s="66">
        <v>421807455</v>
      </c>
      <c r="H25" s="66">
        <v>0</v>
      </c>
    </row>
    <row r="26" spans="1:8" ht="12.75">
      <c r="A26" s="65" t="s">
        <v>312</v>
      </c>
      <c r="B26" s="65" t="s">
        <v>313</v>
      </c>
      <c r="C26" s="66">
        <v>205527219</v>
      </c>
      <c r="D26" s="66">
        <v>0</v>
      </c>
      <c r="E26" s="66">
        <v>154285000</v>
      </c>
      <c r="F26" s="66">
        <v>298896168</v>
      </c>
      <c r="G26" s="66">
        <v>60916051</v>
      </c>
      <c r="H26" s="66">
        <v>0</v>
      </c>
    </row>
    <row r="27" spans="1:8" ht="12.75">
      <c r="A27" s="65" t="s">
        <v>125</v>
      </c>
      <c r="B27" s="65" t="s">
        <v>314</v>
      </c>
      <c r="C27" s="66">
        <v>1481994642</v>
      </c>
      <c r="D27" s="66">
        <v>0</v>
      </c>
      <c r="E27" s="66">
        <v>1069019433</v>
      </c>
      <c r="F27" s="66">
        <v>0</v>
      </c>
      <c r="G27" s="66">
        <v>2551014075</v>
      </c>
      <c r="H27" s="66">
        <v>0</v>
      </c>
    </row>
    <row r="28" spans="1:8" ht="12.75">
      <c r="A28" s="63" t="s">
        <v>315</v>
      </c>
      <c r="B28" s="63" t="s">
        <v>316</v>
      </c>
      <c r="C28" s="64">
        <v>1351085515</v>
      </c>
      <c r="D28" s="64">
        <v>0</v>
      </c>
      <c r="E28" s="64">
        <v>1069019433</v>
      </c>
      <c r="F28" s="64">
        <v>0</v>
      </c>
      <c r="G28" s="64">
        <v>2420104948</v>
      </c>
      <c r="H28" s="64">
        <v>0</v>
      </c>
    </row>
    <row r="29" spans="1:8" ht="12.75">
      <c r="A29" s="63" t="s">
        <v>317</v>
      </c>
      <c r="B29" s="63" t="s">
        <v>318</v>
      </c>
      <c r="C29" s="64">
        <v>130909127</v>
      </c>
      <c r="D29" s="64">
        <v>0</v>
      </c>
      <c r="E29" s="64">
        <v>0</v>
      </c>
      <c r="F29" s="64">
        <v>0</v>
      </c>
      <c r="G29" s="64">
        <v>130909127</v>
      </c>
      <c r="H29" s="64">
        <v>0</v>
      </c>
    </row>
    <row r="30" spans="1:8" ht="12.75">
      <c r="A30" s="65" t="s">
        <v>319</v>
      </c>
      <c r="B30" s="65" t="s">
        <v>320</v>
      </c>
      <c r="C30" s="66">
        <v>0</v>
      </c>
      <c r="D30" s="66">
        <v>419003978</v>
      </c>
      <c r="E30" s="66">
        <v>0</v>
      </c>
      <c r="F30" s="66">
        <v>134741109</v>
      </c>
      <c r="G30" s="66">
        <v>0</v>
      </c>
      <c r="H30" s="66">
        <v>553745087</v>
      </c>
    </row>
    <row r="31" spans="1:8" ht="12.75">
      <c r="A31" s="63" t="s">
        <v>321</v>
      </c>
      <c r="B31" s="63" t="s">
        <v>322</v>
      </c>
      <c r="C31" s="64">
        <v>0</v>
      </c>
      <c r="D31" s="64">
        <v>349185770</v>
      </c>
      <c r="E31" s="64">
        <v>0</v>
      </c>
      <c r="F31" s="64">
        <v>123832014</v>
      </c>
      <c r="G31" s="64">
        <v>0</v>
      </c>
      <c r="H31" s="64">
        <v>473017784</v>
      </c>
    </row>
    <row r="32" spans="1:8" ht="12.75">
      <c r="A32" s="63" t="s">
        <v>323</v>
      </c>
      <c r="B32" s="63" t="s">
        <v>324</v>
      </c>
      <c r="C32" s="64">
        <v>0</v>
      </c>
      <c r="D32" s="64">
        <v>69818208</v>
      </c>
      <c r="E32" s="64">
        <v>0</v>
      </c>
      <c r="F32" s="64">
        <v>10909095</v>
      </c>
      <c r="G32" s="64">
        <v>0</v>
      </c>
      <c r="H32" s="64">
        <v>80727303</v>
      </c>
    </row>
    <row r="33" spans="1:8" ht="12.75">
      <c r="A33" s="65" t="s">
        <v>156</v>
      </c>
      <c r="B33" s="65" t="s">
        <v>325</v>
      </c>
      <c r="C33" s="66">
        <v>13117444146</v>
      </c>
      <c r="D33" s="66">
        <v>0</v>
      </c>
      <c r="E33" s="66">
        <v>4447266735</v>
      </c>
      <c r="F33" s="66">
        <v>0</v>
      </c>
      <c r="G33" s="66">
        <v>17564710881</v>
      </c>
      <c r="H33" s="66">
        <v>0</v>
      </c>
    </row>
    <row r="34" spans="1:8" ht="12.75">
      <c r="A34" s="63" t="s">
        <v>326</v>
      </c>
      <c r="B34" s="63" t="s">
        <v>327</v>
      </c>
      <c r="C34" s="64">
        <v>13058651297</v>
      </c>
      <c r="D34" s="64">
        <v>0</v>
      </c>
      <c r="E34" s="64">
        <v>4447266735</v>
      </c>
      <c r="F34" s="64">
        <v>0</v>
      </c>
      <c r="G34" s="64">
        <v>17505918032</v>
      </c>
      <c r="H34" s="64">
        <v>0</v>
      </c>
    </row>
    <row r="35" spans="1:8" ht="12.75">
      <c r="A35" s="63" t="s">
        <v>328</v>
      </c>
      <c r="B35" s="63" t="s">
        <v>329</v>
      </c>
      <c r="C35" s="64">
        <v>58792849</v>
      </c>
      <c r="D35" s="64">
        <v>0</v>
      </c>
      <c r="E35" s="64">
        <v>0</v>
      </c>
      <c r="F35" s="64">
        <v>0</v>
      </c>
      <c r="G35" s="64">
        <v>58792849</v>
      </c>
      <c r="H35" s="64">
        <v>0</v>
      </c>
    </row>
    <row r="36" spans="1:8" ht="12.75">
      <c r="A36" s="65" t="s">
        <v>157</v>
      </c>
      <c r="B36" s="65" t="s">
        <v>330</v>
      </c>
      <c r="C36" s="66">
        <v>522567596</v>
      </c>
      <c r="D36" s="66">
        <v>0</v>
      </c>
      <c r="E36" s="66">
        <v>6694650</v>
      </c>
      <c r="F36" s="66">
        <v>186502771</v>
      </c>
      <c r="G36" s="66">
        <v>342759475</v>
      </c>
      <c r="H36" s="66">
        <v>0</v>
      </c>
    </row>
    <row r="37" spans="1:8" ht="12.75">
      <c r="A37" s="65" t="s">
        <v>197</v>
      </c>
      <c r="B37" s="65" t="s">
        <v>331</v>
      </c>
      <c r="C37" s="66">
        <v>0</v>
      </c>
      <c r="D37" s="66">
        <v>60000000</v>
      </c>
      <c r="E37" s="66">
        <v>60000000</v>
      </c>
      <c r="F37" s="66">
        <v>0</v>
      </c>
      <c r="G37" s="66">
        <v>0</v>
      </c>
      <c r="H37" s="66">
        <v>0</v>
      </c>
    </row>
    <row r="38" spans="1:8" ht="12.75">
      <c r="A38" s="65" t="s">
        <v>213</v>
      </c>
      <c r="B38" s="65" t="s">
        <v>332</v>
      </c>
      <c r="C38" s="66">
        <v>0</v>
      </c>
      <c r="D38" s="66">
        <v>5545958583</v>
      </c>
      <c r="E38" s="66">
        <v>3741667129</v>
      </c>
      <c r="F38" s="66">
        <v>5536162221</v>
      </c>
      <c r="G38" s="66">
        <v>0</v>
      </c>
      <c r="H38" s="66">
        <v>7340453675</v>
      </c>
    </row>
    <row r="39" spans="1:8" ht="12.75">
      <c r="A39" s="63" t="s">
        <v>333</v>
      </c>
      <c r="B39" s="63" t="s">
        <v>332</v>
      </c>
      <c r="C39" s="64">
        <v>0</v>
      </c>
      <c r="D39" s="64">
        <v>6350640364</v>
      </c>
      <c r="E39" s="64">
        <v>3345026029</v>
      </c>
      <c r="F39" s="64">
        <v>5055567769</v>
      </c>
      <c r="G39" s="64">
        <v>0</v>
      </c>
      <c r="H39" s="64">
        <v>8061182104</v>
      </c>
    </row>
    <row r="40" spans="1:8" ht="12.75">
      <c r="A40" s="63" t="s">
        <v>334</v>
      </c>
      <c r="B40" s="63" t="s">
        <v>335</v>
      </c>
      <c r="C40" s="64">
        <v>0</v>
      </c>
      <c r="D40" s="64">
        <v>6350640364</v>
      </c>
      <c r="E40" s="64">
        <v>3345026029</v>
      </c>
      <c r="F40" s="64">
        <v>5055567769</v>
      </c>
      <c r="G40" s="64">
        <v>0</v>
      </c>
      <c r="H40" s="64">
        <v>8061182104</v>
      </c>
    </row>
    <row r="41" spans="1:8" ht="12.75">
      <c r="A41" s="63" t="s">
        <v>336</v>
      </c>
      <c r="B41" s="63" t="s">
        <v>337</v>
      </c>
      <c r="C41" s="64">
        <v>0</v>
      </c>
      <c r="D41" s="64">
        <v>6350640364</v>
      </c>
      <c r="E41" s="64">
        <v>3345026029</v>
      </c>
      <c r="F41" s="64">
        <v>5055567769</v>
      </c>
      <c r="G41" s="64">
        <v>0</v>
      </c>
      <c r="H41" s="64">
        <v>8061182104</v>
      </c>
    </row>
    <row r="42" spans="1:8" ht="12.75">
      <c r="A42" s="63" t="s">
        <v>338</v>
      </c>
      <c r="B42" s="63" t="s">
        <v>339</v>
      </c>
      <c r="C42" s="64">
        <v>804681781</v>
      </c>
      <c r="D42" s="64">
        <v>0</v>
      </c>
      <c r="E42" s="64">
        <v>396641100</v>
      </c>
      <c r="F42" s="64">
        <v>480594452</v>
      </c>
      <c r="G42" s="64">
        <v>720728429</v>
      </c>
      <c r="H42" s="64">
        <v>0</v>
      </c>
    </row>
    <row r="43" spans="1:8" ht="12.75">
      <c r="A43" s="65" t="s">
        <v>217</v>
      </c>
      <c r="B43" s="65" t="s">
        <v>340</v>
      </c>
      <c r="C43" s="66">
        <v>0</v>
      </c>
      <c r="D43" s="66">
        <v>1237949683</v>
      </c>
      <c r="E43" s="66">
        <v>1265967991</v>
      </c>
      <c r="F43" s="66">
        <v>105976185</v>
      </c>
      <c r="G43" s="66">
        <v>0</v>
      </c>
      <c r="H43" s="66">
        <v>77957877</v>
      </c>
    </row>
    <row r="44" spans="1:8" ht="12.75">
      <c r="A44" s="63" t="s">
        <v>341</v>
      </c>
      <c r="B44" s="63" t="s">
        <v>342</v>
      </c>
      <c r="C44" s="64">
        <v>0</v>
      </c>
      <c r="D44" s="64">
        <v>1164948728</v>
      </c>
      <c r="E44" s="64">
        <v>1250217991</v>
      </c>
      <c r="F44" s="64">
        <v>85269263</v>
      </c>
      <c r="G44" s="64">
        <v>0</v>
      </c>
      <c r="H44" s="64">
        <v>0</v>
      </c>
    </row>
    <row r="45" spans="1:8" ht="12.75">
      <c r="A45" s="63" t="s">
        <v>343</v>
      </c>
      <c r="B45" s="63" t="s">
        <v>344</v>
      </c>
      <c r="C45" s="64">
        <v>0</v>
      </c>
      <c r="D45" s="64">
        <v>1164948728</v>
      </c>
      <c r="E45" s="64">
        <v>1250217991</v>
      </c>
      <c r="F45" s="64">
        <v>85269263</v>
      </c>
      <c r="G45" s="64">
        <v>0</v>
      </c>
      <c r="H45" s="64">
        <v>0</v>
      </c>
    </row>
    <row r="46" spans="1:8" ht="12.75">
      <c r="A46" s="63" t="s">
        <v>345</v>
      </c>
      <c r="B46" s="63" t="s">
        <v>346</v>
      </c>
      <c r="C46" s="64">
        <v>0</v>
      </c>
      <c r="D46" s="64">
        <v>73000955</v>
      </c>
      <c r="E46" s="64">
        <v>15750000</v>
      </c>
      <c r="F46" s="64">
        <v>20706922</v>
      </c>
      <c r="G46" s="64">
        <v>0</v>
      </c>
      <c r="H46" s="64">
        <v>77957877</v>
      </c>
    </row>
    <row r="47" spans="1:8" ht="12.75">
      <c r="A47" s="65" t="s">
        <v>219</v>
      </c>
      <c r="B47" s="65" t="s">
        <v>347</v>
      </c>
      <c r="C47" s="66">
        <v>0</v>
      </c>
      <c r="D47" s="66">
        <v>74940869</v>
      </c>
      <c r="E47" s="66">
        <v>451298341</v>
      </c>
      <c r="F47" s="66">
        <v>537243343</v>
      </c>
      <c r="G47" s="66">
        <v>0</v>
      </c>
      <c r="H47" s="66">
        <v>160885871</v>
      </c>
    </row>
    <row r="48" spans="1:8" ht="12.75">
      <c r="A48" s="65" t="s">
        <v>222</v>
      </c>
      <c r="B48" s="65" t="s">
        <v>348</v>
      </c>
      <c r="C48" s="66">
        <v>0</v>
      </c>
      <c r="D48" s="66">
        <v>132450621</v>
      </c>
      <c r="E48" s="66">
        <v>132450621</v>
      </c>
      <c r="F48" s="66">
        <v>0</v>
      </c>
      <c r="G48" s="66">
        <v>0</v>
      </c>
      <c r="H48" s="66">
        <v>0</v>
      </c>
    </row>
    <row r="49" spans="1:8" ht="12.75">
      <c r="A49" s="65" t="s">
        <v>349</v>
      </c>
      <c r="B49" s="65" t="s">
        <v>350</v>
      </c>
      <c r="C49" s="66">
        <v>0</v>
      </c>
      <c r="D49" s="66">
        <v>1223131144</v>
      </c>
      <c r="E49" s="66">
        <v>1047864600</v>
      </c>
      <c r="F49" s="66">
        <v>90887019</v>
      </c>
      <c r="G49" s="66">
        <v>0</v>
      </c>
      <c r="H49" s="66">
        <v>266153563</v>
      </c>
    </row>
    <row r="50" spans="1:8" ht="12.75">
      <c r="A50" s="63" t="s">
        <v>351</v>
      </c>
      <c r="B50" s="63" t="s">
        <v>352</v>
      </c>
      <c r="C50" s="64">
        <v>0</v>
      </c>
      <c r="D50" s="64">
        <v>24575300</v>
      </c>
      <c r="E50" s="64">
        <v>40864600</v>
      </c>
      <c r="F50" s="64">
        <v>24256900</v>
      </c>
      <c r="G50" s="64">
        <v>0</v>
      </c>
      <c r="H50" s="64">
        <v>7967600</v>
      </c>
    </row>
    <row r="51" spans="1:8" ht="12.75">
      <c r="A51" s="63" t="s">
        <v>353</v>
      </c>
      <c r="B51" s="63" t="s">
        <v>350</v>
      </c>
      <c r="C51" s="64">
        <v>0</v>
      </c>
      <c r="D51" s="64">
        <v>1198555844</v>
      </c>
      <c r="E51" s="64">
        <v>1007000000</v>
      </c>
      <c r="F51" s="64">
        <v>66630119</v>
      </c>
      <c r="G51" s="64">
        <v>0</v>
      </c>
      <c r="H51" s="64">
        <v>258185963</v>
      </c>
    </row>
    <row r="52" spans="1:8" ht="12.75">
      <c r="A52" s="65" t="s">
        <v>233</v>
      </c>
      <c r="B52" s="65" t="s">
        <v>354</v>
      </c>
      <c r="C52" s="66">
        <v>0</v>
      </c>
      <c r="D52" s="66">
        <v>10000000000</v>
      </c>
      <c r="E52" s="66">
        <v>0</v>
      </c>
      <c r="F52" s="66">
        <v>0</v>
      </c>
      <c r="G52" s="66">
        <v>0</v>
      </c>
      <c r="H52" s="66">
        <v>10000000000</v>
      </c>
    </row>
    <row r="53" spans="1:8" ht="12.75">
      <c r="A53" s="63" t="s">
        <v>355</v>
      </c>
      <c r="B53" s="63" t="s">
        <v>356</v>
      </c>
      <c r="C53" s="64">
        <v>0</v>
      </c>
      <c r="D53" s="64">
        <v>10000000000</v>
      </c>
      <c r="E53" s="64">
        <v>0</v>
      </c>
      <c r="F53" s="64">
        <v>0</v>
      </c>
      <c r="G53" s="64">
        <v>0</v>
      </c>
      <c r="H53" s="64">
        <v>10000000000</v>
      </c>
    </row>
    <row r="54" spans="1:8" ht="12.75">
      <c r="A54" s="65" t="s">
        <v>253</v>
      </c>
      <c r="B54" s="65" t="s">
        <v>357</v>
      </c>
      <c r="C54" s="66">
        <v>0</v>
      </c>
      <c r="D54" s="66">
        <v>1126980961</v>
      </c>
      <c r="E54" s="66">
        <v>20706922</v>
      </c>
      <c r="F54" s="66">
        <v>995223000</v>
      </c>
      <c r="G54" s="66">
        <v>0</v>
      </c>
      <c r="H54" s="66">
        <v>2101497039</v>
      </c>
    </row>
    <row r="55" spans="1:8" ht="12.75">
      <c r="A55" s="63" t="s">
        <v>358</v>
      </c>
      <c r="B55" s="63" t="s">
        <v>359</v>
      </c>
      <c r="C55" s="64">
        <v>0</v>
      </c>
      <c r="D55" s="64">
        <v>1126980961</v>
      </c>
      <c r="E55" s="64">
        <v>20706922</v>
      </c>
      <c r="F55" s="64">
        <v>995223000</v>
      </c>
      <c r="G55" s="64">
        <v>0</v>
      </c>
      <c r="H55" s="64">
        <v>2101497039</v>
      </c>
    </row>
    <row r="56" spans="1:8" ht="12.75">
      <c r="A56" s="65" t="s">
        <v>360</v>
      </c>
      <c r="B56" s="65" t="s">
        <v>361</v>
      </c>
      <c r="C56" s="66">
        <v>0</v>
      </c>
      <c r="D56" s="66">
        <v>0</v>
      </c>
      <c r="E56" s="66">
        <v>2914082276</v>
      </c>
      <c r="F56" s="66">
        <v>2914082276</v>
      </c>
      <c r="G56" s="66">
        <v>0</v>
      </c>
      <c r="H56" s="66">
        <v>0</v>
      </c>
    </row>
    <row r="57" spans="1:8" ht="12.75">
      <c r="A57" s="63" t="s">
        <v>362</v>
      </c>
      <c r="B57" s="63" t="s">
        <v>363</v>
      </c>
      <c r="C57" s="64">
        <v>0</v>
      </c>
      <c r="D57" s="64">
        <v>0</v>
      </c>
      <c r="E57" s="64">
        <v>1355803</v>
      </c>
      <c r="F57" s="64">
        <v>1355803</v>
      </c>
      <c r="G57" s="64">
        <v>0</v>
      </c>
      <c r="H57" s="64">
        <v>0</v>
      </c>
    </row>
    <row r="58" spans="1:8" ht="12.75">
      <c r="A58" s="63" t="s">
        <v>364</v>
      </c>
      <c r="B58" s="63" t="s">
        <v>365</v>
      </c>
      <c r="C58" s="64">
        <v>0</v>
      </c>
      <c r="D58" s="64">
        <v>0</v>
      </c>
      <c r="E58" s="64">
        <v>2912726473</v>
      </c>
      <c r="F58" s="64">
        <v>2912726473</v>
      </c>
      <c r="G58" s="64">
        <v>0</v>
      </c>
      <c r="H58" s="64">
        <v>0</v>
      </c>
    </row>
    <row r="59" spans="1:8" ht="12.75">
      <c r="A59" s="65" t="s">
        <v>366</v>
      </c>
      <c r="B59" s="65" t="s">
        <v>367</v>
      </c>
      <c r="C59" s="66">
        <v>0</v>
      </c>
      <c r="D59" s="66">
        <v>0</v>
      </c>
      <c r="E59" s="66">
        <v>231308322</v>
      </c>
      <c r="F59" s="66">
        <v>231308322</v>
      </c>
      <c r="G59" s="66">
        <v>0</v>
      </c>
      <c r="H59" s="66">
        <v>0</v>
      </c>
    </row>
    <row r="60" spans="1:8" ht="12.75">
      <c r="A60" s="65" t="s">
        <v>368</v>
      </c>
      <c r="B60" s="65" t="s">
        <v>369</v>
      </c>
      <c r="C60" s="66">
        <v>0</v>
      </c>
      <c r="D60" s="66">
        <v>0</v>
      </c>
      <c r="E60" s="66">
        <v>349526129</v>
      </c>
      <c r="F60" s="66">
        <v>349526129</v>
      </c>
      <c r="G60" s="66">
        <v>0</v>
      </c>
      <c r="H60" s="66">
        <v>0</v>
      </c>
    </row>
    <row r="61" spans="1:8" ht="12.75">
      <c r="A61" s="65" t="s">
        <v>370</v>
      </c>
      <c r="B61" s="65" t="s">
        <v>371</v>
      </c>
      <c r="C61" s="66">
        <v>0</v>
      </c>
      <c r="D61" s="66">
        <v>0</v>
      </c>
      <c r="E61" s="66">
        <v>7341633</v>
      </c>
      <c r="F61" s="66">
        <v>7341633</v>
      </c>
      <c r="G61" s="66">
        <v>0</v>
      </c>
      <c r="H61" s="66">
        <v>0</v>
      </c>
    </row>
    <row r="62" spans="1:8" ht="12.75">
      <c r="A62" s="65" t="s">
        <v>372</v>
      </c>
      <c r="B62" s="65" t="s">
        <v>373</v>
      </c>
      <c r="C62" s="66">
        <v>50327200</v>
      </c>
      <c r="D62" s="66">
        <v>0</v>
      </c>
      <c r="E62" s="66">
        <v>1721635396</v>
      </c>
      <c r="F62" s="66">
        <v>1771962596</v>
      </c>
      <c r="G62" s="66">
        <v>0</v>
      </c>
      <c r="H62" s="66">
        <v>0</v>
      </c>
    </row>
    <row r="63" spans="1:8" ht="12.75">
      <c r="A63" s="63" t="s">
        <v>374</v>
      </c>
      <c r="B63" s="63" t="s">
        <v>375</v>
      </c>
      <c r="C63" s="64">
        <v>50327200</v>
      </c>
      <c r="D63" s="64">
        <v>0</v>
      </c>
      <c r="E63" s="64">
        <v>1721635396</v>
      </c>
      <c r="F63" s="64">
        <v>1771962596</v>
      </c>
      <c r="G63" s="64">
        <v>0</v>
      </c>
      <c r="H63" s="64">
        <v>0</v>
      </c>
    </row>
    <row r="64" spans="1:8" ht="12.75">
      <c r="A64" s="67" t="s">
        <v>376</v>
      </c>
      <c r="B64" s="67" t="s">
        <v>377</v>
      </c>
      <c r="C64" s="68">
        <v>0</v>
      </c>
      <c r="D64" s="68">
        <v>0</v>
      </c>
      <c r="E64" s="68">
        <v>3079951102</v>
      </c>
      <c r="F64" s="68">
        <v>3079951102</v>
      </c>
      <c r="G64" s="68">
        <v>0</v>
      </c>
      <c r="H64" s="68">
        <v>0</v>
      </c>
    </row>
    <row r="65" spans="1:8" ht="12.75">
      <c r="A65" s="69">
        <v>1</v>
      </c>
      <c r="B65" s="70" t="s">
        <v>378</v>
      </c>
      <c r="C65" s="71">
        <f>C8+C10+C15+C20+C23+C25+C26+C27+C30+C33+C36+C37+C38+C43+C47+C48+C49+C52+C54+C56+C59+C60+C61+C62+C64+1</f>
        <v>25586217392</v>
      </c>
      <c r="D65" s="71">
        <f>D8+D10+D15+D20+D23+D25+D26+D27+D30+D33+D36+D37+D38+D43+D47+D48+D49+D52+D54+D56+D59+D60+D61+D62+D64</f>
        <v>25586217392</v>
      </c>
      <c r="E65" s="71">
        <f>E8+E10+E15+E20+E23+E25+E26+E27+E30+E33+E36+E37+E38+E43+E47+E48+E49+E52+E54+E56+E59+E60+E61+E62+E64</f>
        <v>32628405761</v>
      </c>
      <c r="F65" s="71">
        <f>F8+F10+F15+F20+F23+F25+F26+F27+F30+F33+F36+F37+F38+F43+F47+F48+F49+F52+F54+F56+F59+F60+F61+F62+F64</f>
        <v>32628405761</v>
      </c>
      <c r="G65" s="71">
        <f>G8+G10+G15+G20+G23+G25+G26+G27+G30+G33+G36+G37+G38+G43+G47+G48+G49+G52+G54+G56+G59+G60+G61+G62+G64+1</f>
        <v>26570692315</v>
      </c>
      <c r="H65" s="71">
        <f>H8+H10+H15+H20+H23+H25+H26+H27+H30+H33+H36+H37+H38+H43+H47+H48+H49+H52+H54+H56+H59+H60+H61+H62+H64</f>
        <v>26570692315</v>
      </c>
    </row>
  </sheetData>
  <mergeCells count="10">
    <mergeCell ref="A5:H5"/>
    <mergeCell ref="A6:A7"/>
    <mergeCell ref="B6:B7"/>
    <mergeCell ref="C6:D6"/>
    <mergeCell ref="E6:F6"/>
    <mergeCell ref="G6:H6"/>
    <mergeCell ref="A1:D1"/>
    <mergeCell ref="G1:H1"/>
    <mergeCell ref="G2:H2"/>
    <mergeCell ref="A4:H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21"/>
  <sheetViews>
    <sheetView workbookViewId="0" topLeftCell="A42">
      <selection activeCell="G15" sqref="G15"/>
    </sheetView>
  </sheetViews>
  <sheetFormatPr defaultColWidth="9.140625" defaultRowHeight="12.75"/>
  <cols>
    <col min="1" max="1" width="3.57421875" style="89" customWidth="1"/>
    <col min="2" max="2" width="0.42578125" style="89" customWidth="1"/>
    <col min="3" max="3" width="40.28125" style="89" customWidth="1"/>
    <col min="4" max="4" width="0.42578125" style="89" hidden="1" customWidth="1"/>
    <col min="5" max="5" width="4.28125" style="89" customWidth="1"/>
    <col min="6" max="6" width="2.00390625" style="89" hidden="1" customWidth="1"/>
    <col min="7" max="7" width="7.421875" style="89" customWidth="1"/>
    <col min="8" max="8" width="0.71875" style="89" hidden="1" customWidth="1"/>
    <col min="9" max="9" width="15.00390625" style="89" customWidth="1"/>
    <col min="10" max="10" width="3.7109375" style="89" hidden="1" customWidth="1"/>
    <col min="11" max="11" width="22.00390625" style="189" customWidth="1"/>
    <col min="12" max="12" width="14.00390625" style="87" bestFit="1" customWidth="1"/>
    <col min="13" max="13" width="19.00390625" style="89" customWidth="1"/>
    <col min="14" max="14" width="16.8515625" style="89" bestFit="1" customWidth="1"/>
    <col min="15" max="15" width="16.7109375" style="89" customWidth="1"/>
    <col min="16" max="16" width="18.140625" style="89" bestFit="1" customWidth="1"/>
    <col min="17" max="17" width="18.140625" style="89" customWidth="1"/>
    <col min="18" max="18" width="16.140625" style="89" bestFit="1" customWidth="1"/>
    <col min="19" max="21" width="17.57421875" style="89" customWidth="1"/>
    <col min="22" max="16384" width="9.140625" style="89" customWidth="1"/>
  </cols>
  <sheetData>
    <row r="1" spans="1:12" s="73" customFormat="1" ht="16.5">
      <c r="A1" s="72" t="str">
        <f>'[1]PL 15in'!A1</f>
        <v>C«ng ty cp sara viÖt nam</v>
      </c>
      <c r="K1" s="74" t="s">
        <v>379</v>
      </c>
      <c r="L1" s="75"/>
    </row>
    <row r="2" spans="1:21" s="73" customFormat="1" ht="15">
      <c r="A2" s="76" t="str">
        <f>'[1]PL 15in'!A2</f>
        <v>P205 A5 K§T §¹i Kim - §Þnh C«ng - Hoµng Mai - Hµ Néi</v>
      </c>
      <c r="K2" s="77" t="s">
        <v>717</v>
      </c>
      <c r="L2" s="75"/>
      <c r="M2" s="78"/>
      <c r="N2" s="78"/>
      <c r="O2" s="78"/>
      <c r="P2" s="78"/>
      <c r="Q2" s="78"/>
      <c r="R2" s="78"/>
      <c r="S2" s="78"/>
      <c r="T2" s="78"/>
      <c r="U2" s="78"/>
    </row>
    <row r="3" spans="1:21" s="73" customFormat="1" ht="16.5">
      <c r="A3" s="76" t="str">
        <f>'[1]PL 15in'!A3</f>
        <v>Tel:   (84 - 04) 6 413 757     Fax: (84 - 04) 6 413 575</v>
      </c>
      <c r="B3" s="79"/>
      <c r="C3" s="76"/>
      <c r="D3" s="80"/>
      <c r="E3" s="76"/>
      <c r="F3" s="76"/>
      <c r="K3" s="81"/>
      <c r="L3" s="75"/>
      <c r="M3" s="78"/>
      <c r="N3" s="78"/>
      <c r="O3" s="78"/>
      <c r="P3" s="78"/>
      <c r="Q3" s="78"/>
      <c r="R3" s="78"/>
      <c r="S3" s="78"/>
      <c r="T3" s="78"/>
      <c r="U3" s="78"/>
    </row>
    <row r="4" spans="1:21" s="73" customFormat="1" ht="3" customHeight="1">
      <c r="A4" s="82"/>
      <c r="B4" s="83"/>
      <c r="C4" s="82"/>
      <c r="D4" s="83"/>
      <c r="E4" s="82"/>
      <c r="F4" s="82"/>
      <c r="G4" s="82"/>
      <c r="H4" s="82"/>
      <c r="I4" s="84"/>
      <c r="J4" s="84"/>
      <c r="K4" s="85"/>
      <c r="L4" s="75"/>
      <c r="M4" s="78"/>
      <c r="N4" s="78"/>
      <c r="O4" s="78"/>
      <c r="P4" s="78"/>
      <c r="Q4" s="78"/>
      <c r="R4" s="78"/>
      <c r="S4" s="78"/>
      <c r="T4" s="78"/>
      <c r="U4" s="78"/>
    </row>
    <row r="5" spans="1:21" s="73" customFormat="1" ht="12.7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6" t="s">
        <v>665</v>
      </c>
      <c r="L5" s="75"/>
      <c r="M5" s="78"/>
      <c r="N5" s="78"/>
      <c r="O5" s="78"/>
      <c r="P5" s="78"/>
      <c r="Q5" s="78"/>
      <c r="R5" s="78"/>
      <c r="S5" s="78"/>
      <c r="T5" s="78"/>
      <c r="U5" s="78"/>
    </row>
    <row r="6" spans="1:21" ht="18.75" customHeight="1">
      <c r="A6" s="525" t="s">
        <v>666</v>
      </c>
      <c r="B6" s="525"/>
      <c r="C6" s="525"/>
      <c r="D6" s="525"/>
      <c r="E6" s="525"/>
      <c r="F6" s="525"/>
      <c r="G6" s="525"/>
      <c r="H6" s="525"/>
      <c r="I6" s="525"/>
      <c r="J6" s="525"/>
      <c r="K6" s="525"/>
      <c r="M6" s="88"/>
      <c r="N6" s="88"/>
      <c r="O6" s="88"/>
      <c r="P6" s="88"/>
      <c r="Q6" s="88"/>
      <c r="R6" s="88"/>
      <c r="S6" s="88"/>
      <c r="T6" s="88"/>
      <c r="U6" s="88"/>
    </row>
    <row r="7" spans="1:21" ht="15">
      <c r="A7" s="526" t="s">
        <v>667</v>
      </c>
      <c r="B7" s="526"/>
      <c r="C7" s="526"/>
      <c r="D7" s="526"/>
      <c r="E7" s="526"/>
      <c r="F7" s="526"/>
      <c r="G7" s="526"/>
      <c r="H7" s="526"/>
      <c r="I7" s="526"/>
      <c r="J7" s="526"/>
      <c r="K7" s="526"/>
      <c r="M7" s="88"/>
      <c r="N7" s="88"/>
      <c r="O7" s="88"/>
      <c r="P7" s="88"/>
      <c r="Q7" s="88"/>
      <c r="R7" s="88"/>
      <c r="S7" s="88"/>
      <c r="T7" s="88"/>
      <c r="U7" s="88"/>
    </row>
    <row r="8" spans="1:21" ht="17.25" customHeight="1">
      <c r="A8" s="526" t="s">
        <v>718</v>
      </c>
      <c r="B8" s="526"/>
      <c r="C8" s="526"/>
      <c r="D8" s="526"/>
      <c r="E8" s="526"/>
      <c r="F8" s="526"/>
      <c r="G8" s="526"/>
      <c r="H8" s="526"/>
      <c r="I8" s="526"/>
      <c r="J8" s="526"/>
      <c r="K8" s="526"/>
      <c r="M8" s="88"/>
      <c r="N8" s="88"/>
      <c r="O8" s="88"/>
      <c r="P8" s="88"/>
      <c r="Q8" s="88"/>
      <c r="R8" s="88"/>
      <c r="S8" s="88"/>
      <c r="T8" s="88"/>
      <c r="U8" s="88"/>
    </row>
    <row r="9" spans="3:21" ht="19.5" customHeight="1">
      <c r="C9" s="88"/>
      <c r="D9" s="88"/>
      <c r="E9" s="88"/>
      <c r="F9" s="88"/>
      <c r="G9" s="88"/>
      <c r="H9" s="88"/>
      <c r="I9" s="90"/>
      <c r="K9" s="77" t="s">
        <v>421</v>
      </c>
      <c r="M9" s="88"/>
      <c r="N9" s="88"/>
      <c r="O9" s="88"/>
      <c r="P9" s="88"/>
      <c r="Q9" s="88"/>
      <c r="R9" s="88"/>
      <c r="S9" s="88"/>
      <c r="T9" s="88"/>
      <c r="U9" s="88"/>
    </row>
    <row r="10" spans="3:22" ht="3.75" customHeight="1">
      <c r="C10" s="88"/>
      <c r="D10" s="88"/>
      <c r="E10" s="88"/>
      <c r="F10" s="88"/>
      <c r="G10" s="88"/>
      <c r="H10" s="88"/>
      <c r="I10" s="90"/>
      <c r="J10" s="91"/>
      <c r="K10" s="92"/>
      <c r="M10" s="93"/>
      <c r="N10" s="93"/>
      <c r="O10" s="93"/>
      <c r="P10" s="93"/>
      <c r="Q10" s="93"/>
      <c r="R10" s="93"/>
      <c r="S10" s="93"/>
      <c r="T10" s="93"/>
      <c r="U10" s="93"/>
      <c r="V10" s="94"/>
    </row>
    <row r="11" spans="1:22" s="190" customFormat="1" ht="27.75" customHeight="1">
      <c r="A11" s="95" t="s">
        <v>668</v>
      </c>
      <c r="B11" s="96"/>
      <c r="C11" s="95" t="s">
        <v>639</v>
      </c>
      <c r="D11" s="95"/>
      <c r="E11" s="97" t="s">
        <v>669</v>
      </c>
      <c r="F11" s="95"/>
      <c r="G11" s="98" t="s">
        <v>670</v>
      </c>
      <c r="H11" s="99"/>
      <c r="I11" s="97" t="s">
        <v>720</v>
      </c>
      <c r="J11" s="100"/>
      <c r="K11" s="101" t="s">
        <v>721</v>
      </c>
      <c r="L11" s="102"/>
      <c r="M11" s="103"/>
      <c r="N11" s="103"/>
      <c r="O11" s="103"/>
      <c r="P11" s="103"/>
      <c r="Q11" s="103"/>
      <c r="R11" s="103"/>
      <c r="S11" s="103"/>
      <c r="T11" s="103"/>
      <c r="U11" s="103"/>
      <c r="V11" s="104"/>
    </row>
    <row r="12" spans="3:22" s="88" customFormat="1" ht="3.75" customHeight="1">
      <c r="C12" s="105"/>
      <c r="E12" s="106"/>
      <c r="G12" s="105"/>
      <c r="H12" s="107"/>
      <c r="J12" s="108"/>
      <c r="K12" s="109"/>
      <c r="L12" s="110"/>
      <c r="M12" s="93"/>
      <c r="N12" s="93"/>
      <c r="O12" s="93"/>
      <c r="P12" s="93"/>
      <c r="Q12" s="93"/>
      <c r="R12" s="93"/>
      <c r="S12" s="93"/>
      <c r="T12" s="93"/>
      <c r="U12" s="93"/>
      <c r="V12" s="93"/>
    </row>
    <row r="13" spans="1:22" s="191" customFormat="1" ht="14.25">
      <c r="A13" s="111" t="s">
        <v>671</v>
      </c>
      <c r="B13" s="112"/>
      <c r="C13" s="113" t="s">
        <v>672</v>
      </c>
      <c r="D13" s="112"/>
      <c r="E13" s="112"/>
      <c r="F13" s="112"/>
      <c r="G13" s="112"/>
      <c r="H13" s="114"/>
      <c r="I13" s="112"/>
      <c r="J13" s="115"/>
      <c r="K13" s="116"/>
      <c r="L13" s="117"/>
      <c r="M13" s="118"/>
      <c r="N13" s="118"/>
      <c r="O13" s="119"/>
      <c r="P13" s="120"/>
      <c r="Q13" s="120"/>
      <c r="R13" s="120"/>
      <c r="S13" s="120"/>
      <c r="T13" s="120"/>
      <c r="U13" s="120"/>
      <c r="V13" s="120"/>
    </row>
    <row r="14" spans="1:22" s="88" customFormat="1" ht="3" customHeight="1">
      <c r="A14" s="105"/>
      <c r="C14" s="121"/>
      <c r="E14" s="122"/>
      <c r="J14" s="123"/>
      <c r="K14" s="124"/>
      <c r="L14" s="110"/>
      <c r="M14" s="93"/>
      <c r="N14" s="93"/>
      <c r="O14" s="93"/>
      <c r="P14" s="93"/>
      <c r="Q14" s="93"/>
      <c r="R14" s="93"/>
      <c r="S14" s="93"/>
      <c r="T14" s="93"/>
      <c r="U14" s="93"/>
      <c r="V14" s="93"/>
    </row>
    <row r="15" spans="1:22" s="88" customFormat="1" ht="25.5">
      <c r="A15" s="125">
        <v>1</v>
      </c>
      <c r="C15" s="126" t="s">
        <v>673</v>
      </c>
      <c r="E15" s="127" t="s">
        <v>15</v>
      </c>
      <c r="I15" s="128">
        <v>22307664148</v>
      </c>
      <c r="J15" s="123"/>
      <c r="K15" s="128">
        <f>6157159943-231308322</f>
        <v>5925851621</v>
      </c>
      <c r="L15" s="110"/>
      <c r="M15" s="129"/>
      <c r="N15" s="93"/>
      <c r="O15" s="93"/>
      <c r="P15" s="93"/>
      <c r="Q15" s="93"/>
      <c r="R15" s="93"/>
      <c r="S15" s="130"/>
      <c r="T15" s="131"/>
      <c r="U15" s="93"/>
      <c r="V15" s="93"/>
    </row>
    <row r="16" spans="1:22" s="88" customFormat="1" ht="23.25" customHeight="1">
      <c r="A16" s="125">
        <v>2</v>
      </c>
      <c r="C16" s="132" t="s">
        <v>674</v>
      </c>
      <c r="E16" s="122" t="s">
        <v>18</v>
      </c>
      <c r="I16" s="133">
        <f>-(4421392220-20899200+1038866706+8764443+562165157-18496736+135780187+94077743-1849674+19793504+123824235+331642485+274015818+243567065+25000000)</f>
        <v>-7237643953</v>
      </c>
      <c r="J16" s="134"/>
      <c r="K16" s="133">
        <f>-1803400368-534</f>
        <v>-1803400902</v>
      </c>
      <c r="L16" s="110"/>
      <c r="M16" s="129"/>
      <c r="N16" s="93"/>
      <c r="O16" s="93"/>
      <c r="P16" s="93"/>
      <c r="Q16" s="93"/>
      <c r="R16" s="93"/>
      <c r="S16" s="135"/>
      <c r="T16" s="135"/>
      <c r="U16" s="93"/>
      <c r="V16" s="93"/>
    </row>
    <row r="17" spans="1:22" s="88" customFormat="1" ht="12.75">
      <c r="A17" s="105">
        <v>3</v>
      </c>
      <c r="C17" s="136" t="s">
        <v>675</v>
      </c>
      <c r="E17" s="122" t="s">
        <v>676</v>
      </c>
      <c r="I17" s="122">
        <f>-(992328034)</f>
        <v>-992328034</v>
      </c>
      <c r="J17" s="123"/>
      <c r="K17" s="122">
        <v>-537243343</v>
      </c>
      <c r="L17" s="110"/>
      <c r="M17" s="129"/>
      <c r="N17" s="93"/>
      <c r="O17" s="93"/>
      <c r="P17" s="93"/>
      <c r="Q17" s="93"/>
      <c r="R17" s="93"/>
      <c r="S17" s="135"/>
      <c r="T17" s="135"/>
      <c r="U17" s="93"/>
      <c r="V17" s="93"/>
    </row>
    <row r="18" spans="1:22" s="88" customFormat="1" ht="14.25">
      <c r="A18" s="105">
        <v>4</v>
      </c>
      <c r="C18" s="136" t="s">
        <v>677</v>
      </c>
      <c r="E18" s="122" t="s">
        <v>678</v>
      </c>
      <c r="I18" s="137">
        <f>-(2614401+229770745)</f>
        <v>-232385146</v>
      </c>
      <c r="J18" s="138"/>
      <c r="K18" s="137">
        <f>-5333333-2007900</f>
        <v>-7341233</v>
      </c>
      <c r="L18" s="110"/>
      <c r="M18" s="139"/>
      <c r="N18" s="93"/>
      <c r="O18" s="93"/>
      <c r="P18" s="93"/>
      <c r="Q18" s="93"/>
      <c r="R18" s="93"/>
      <c r="S18" s="135"/>
      <c r="T18" s="135"/>
      <c r="U18" s="93"/>
      <c r="V18" s="93"/>
    </row>
    <row r="19" spans="1:22" s="88" customFormat="1" ht="14.25">
      <c r="A19" s="105">
        <v>5</v>
      </c>
      <c r="C19" s="136" t="s">
        <v>679</v>
      </c>
      <c r="E19" s="122" t="s">
        <v>680</v>
      </c>
      <c r="I19" s="122">
        <f>-(131500000+35448000+124733610-14550910+3000000)</f>
        <v>-280130700</v>
      </c>
      <c r="J19" s="123"/>
      <c r="K19" s="122">
        <v>-15750000</v>
      </c>
      <c r="L19" s="110"/>
      <c r="M19" s="139"/>
      <c r="N19" s="135"/>
      <c r="O19" s="93"/>
      <c r="P19" s="93"/>
      <c r="Q19" s="93"/>
      <c r="R19" s="93"/>
      <c r="S19" s="135"/>
      <c r="T19" s="135"/>
      <c r="U19" s="93"/>
      <c r="V19" s="93"/>
    </row>
    <row r="20" spans="1:22" s="88" customFormat="1" ht="14.25">
      <c r="A20" s="105">
        <v>6</v>
      </c>
      <c r="C20" s="136" t="s">
        <v>681</v>
      </c>
      <c r="E20" s="122" t="s">
        <v>682</v>
      </c>
      <c r="I20" s="140"/>
      <c r="J20" s="123"/>
      <c r="K20" s="140"/>
      <c r="L20" s="110"/>
      <c r="M20" s="139"/>
      <c r="N20" s="135"/>
      <c r="O20" s="93"/>
      <c r="P20" s="93"/>
      <c r="Q20" s="93"/>
      <c r="R20" s="93"/>
      <c r="S20" s="135"/>
      <c r="T20" s="93"/>
      <c r="U20" s="93"/>
      <c r="V20" s="93"/>
    </row>
    <row r="21" spans="1:22" s="88" customFormat="1" ht="12.75">
      <c r="A21" s="105">
        <v>7</v>
      </c>
      <c r="C21" s="136" t="s">
        <v>683</v>
      </c>
      <c r="E21" s="122" t="s">
        <v>684</v>
      </c>
      <c r="I21" s="122">
        <f>-(5700000+30000000+803911500-107185219+61041732+60000000-2600000)</f>
        <v>-850868013</v>
      </c>
      <c r="J21" s="123"/>
      <c r="K21" s="122">
        <f>-254050249-1871618772+3866600</f>
        <v>-2121802421</v>
      </c>
      <c r="L21" s="110"/>
      <c r="M21" s="192"/>
      <c r="N21" s="135"/>
      <c r="O21" s="93"/>
      <c r="P21" s="93"/>
      <c r="Q21" s="93"/>
      <c r="R21" s="93"/>
      <c r="S21" s="135"/>
      <c r="T21" s="93"/>
      <c r="U21" s="93"/>
      <c r="V21" s="93"/>
    </row>
    <row r="22" spans="1:22" s="142" customFormat="1" ht="15">
      <c r="A22" s="141"/>
      <c r="C22" s="143" t="s">
        <v>719</v>
      </c>
      <c r="E22" s="144">
        <v>20</v>
      </c>
      <c r="I22" s="145">
        <f>SUM(I15:I21)</f>
        <v>12714308302</v>
      </c>
      <c r="J22" s="146"/>
      <c r="K22" s="145">
        <f>SUM(K15:K21)</f>
        <v>1440313722</v>
      </c>
      <c r="L22" s="147"/>
      <c r="M22" s="131"/>
      <c r="N22" s="131"/>
      <c r="O22" s="148"/>
      <c r="P22" s="149"/>
      <c r="Q22" s="149"/>
      <c r="R22" s="150"/>
      <c r="S22" s="148"/>
      <c r="T22" s="150"/>
      <c r="U22" s="150"/>
      <c r="V22" s="150"/>
    </row>
    <row r="23" spans="1:22" s="88" customFormat="1" ht="3" customHeight="1">
      <c r="A23" s="105"/>
      <c r="C23" s="121"/>
      <c r="E23" s="122"/>
      <c r="I23" s="151"/>
      <c r="J23" s="152"/>
      <c r="K23" s="151"/>
      <c r="L23" s="110"/>
      <c r="M23" s="139"/>
      <c r="N23" s="93"/>
      <c r="O23" s="93"/>
      <c r="P23" s="139"/>
      <c r="Q23" s="139"/>
      <c r="R23" s="93"/>
      <c r="S23" s="93"/>
      <c r="T23" s="93"/>
      <c r="U23" s="93"/>
      <c r="V23" s="93"/>
    </row>
    <row r="24" spans="1:22" s="88" customFormat="1" ht="15">
      <c r="A24" s="111" t="s">
        <v>685</v>
      </c>
      <c r="B24" s="112"/>
      <c r="C24" s="113" t="s">
        <v>686</v>
      </c>
      <c r="E24" s="122"/>
      <c r="I24" s="151"/>
      <c r="J24" s="152"/>
      <c r="K24" s="151"/>
      <c r="L24" s="110"/>
      <c r="M24" s="139"/>
      <c r="N24" s="139"/>
      <c r="O24" s="93"/>
      <c r="P24" s="93"/>
      <c r="Q24" s="93"/>
      <c r="R24" s="93"/>
      <c r="S24" s="153"/>
      <c r="T24" s="93"/>
      <c r="U24" s="93"/>
      <c r="V24" s="93"/>
    </row>
    <row r="25" spans="1:22" s="88" customFormat="1" ht="3" customHeight="1">
      <c r="A25" s="105"/>
      <c r="C25" s="121"/>
      <c r="E25" s="122"/>
      <c r="I25" s="151"/>
      <c r="J25" s="152"/>
      <c r="K25" s="151"/>
      <c r="L25" s="110"/>
      <c r="M25" s="154"/>
      <c r="N25" s="93"/>
      <c r="O25" s="93"/>
      <c r="P25" s="93"/>
      <c r="Q25" s="93"/>
      <c r="R25" s="93"/>
      <c r="S25" s="93"/>
      <c r="T25" s="93"/>
      <c r="U25" s="93"/>
      <c r="V25" s="93"/>
    </row>
    <row r="26" spans="1:22" s="88" customFormat="1" ht="25.5">
      <c r="A26" s="125">
        <v>1</v>
      </c>
      <c r="C26" s="126" t="s">
        <v>687</v>
      </c>
      <c r="E26" s="127">
        <v>21</v>
      </c>
      <c r="I26" s="133">
        <f>-(192790682)</f>
        <v>-192790682</v>
      </c>
      <c r="J26" s="123"/>
      <c r="K26" s="133">
        <f>-1069019433-290700270</f>
        <v>-1359719703</v>
      </c>
      <c r="L26" s="110"/>
      <c r="M26" s="154"/>
      <c r="N26" s="155"/>
      <c r="O26" s="139"/>
      <c r="P26" s="155"/>
      <c r="Q26" s="93"/>
      <c r="R26" s="156"/>
      <c r="S26" s="153"/>
      <c r="T26" s="153"/>
      <c r="U26" s="93"/>
      <c r="V26" s="93"/>
    </row>
    <row r="27" spans="1:22" s="88" customFormat="1" ht="25.5">
      <c r="A27" s="125">
        <v>2</v>
      </c>
      <c r="C27" s="126" t="s">
        <v>688</v>
      </c>
      <c r="E27" s="127">
        <v>22</v>
      </c>
      <c r="I27" s="157">
        <v>90909091</v>
      </c>
      <c r="J27" s="152"/>
      <c r="K27" s="157">
        <v>0</v>
      </c>
      <c r="L27" s="110"/>
      <c r="M27" s="139"/>
      <c r="N27" s="93"/>
      <c r="O27" s="93"/>
      <c r="P27" s="93"/>
      <c r="Q27" s="93"/>
      <c r="R27" s="156"/>
      <c r="S27" s="153"/>
      <c r="T27" s="153"/>
      <c r="U27" s="93"/>
      <c r="V27" s="93"/>
    </row>
    <row r="28" spans="1:22" s="88" customFormat="1" ht="25.5">
      <c r="A28" s="125">
        <v>3</v>
      </c>
      <c r="C28" s="126" t="s">
        <v>689</v>
      </c>
      <c r="E28" s="127">
        <v>23</v>
      </c>
      <c r="I28" s="157">
        <f>-(3657000000-405863000+8603765)</f>
        <v>-3259740765</v>
      </c>
      <c r="J28" s="152"/>
      <c r="K28" s="157">
        <v>0</v>
      </c>
      <c r="L28" s="110"/>
      <c r="M28" s="139"/>
      <c r="N28" s="155"/>
      <c r="O28" s="155"/>
      <c r="P28" s="93"/>
      <c r="Q28" s="93"/>
      <c r="R28" s="156"/>
      <c r="S28" s="153"/>
      <c r="T28" s="153"/>
      <c r="U28" s="93"/>
      <c r="V28" s="93"/>
    </row>
    <row r="29" spans="1:22" s="88" customFormat="1" ht="25.5" hidden="1">
      <c r="A29" s="125">
        <v>4</v>
      </c>
      <c r="C29" s="126" t="s">
        <v>690</v>
      </c>
      <c r="E29" s="122">
        <v>24</v>
      </c>
      <c r="I29" s="157">
        <v>0</v>
      </c>
      <c r="J29" s="152"/>
      <c r="K29" s="157"/>
      <c r="L29" s="110"/>
      <c r="M29" s="93"/>
      <c r="N29" s="93"/>
      <c r="O29" s="155"/>
      <c r="P29" s="93"/>
      <c r="Q29" s="93"/>
      <c r="R29" s="156"/>
      <c r="S29" s="153"/>
      <c r="T29" s="153"/>
      <c r="U29" s="93"/>
      <c r="V29" s="93"/>
    </row>
    <row r="30" spans="1:22" s="88" customFormat="1" ht="14.25" hidden="1">
      <c r="A30" s="105"/>
      <c r="C30" s="121" t="s">
        <v>691</v>
      </c>
      <c r="E30" s="122"/>
      <c r="I30" s="151"/>
      <c r="J30" s="152"/>
      <c r="K30" s="151"/>
      <c r="L30" s="110"/>
      <c r="M30" s="139"/>
      <c r="N30" s="93"/>
      <c r="O30" s="93"/>
      <c r="P30" s="93"/>
      <c r="Q30" s="93"/>
      <c r="R30" s="93"/>
      <c r="S30" s="93"/>
      <c r="T30" s="93"/>
      <c r="U30" s="93"/>
      <c r="V30" s="93"/>
    </row>
    <row r="31" spans="1:22" s="88" customFormat="1" ht="14.25" hidden="1">
      <c r="A31" s="105">
        <v>5</v>
      </c>
      <c r="C31" s="121" t="s">
        <v>692</v>
      </c>
      <c r="E31" s="122">
        <v>25</v>
      </c>
      <c r="I31" s="151">
        <v>0</v>
      </c>
      <c r="J31" s="152"/>
      <c r="K31" s="151"/>
      <c r="L31" s="110"/>
      <c r="M31" s="139"/>
      <c r="N31" s="155"/>
      <c r="O31" s="155"/>
      <c r="P31" s="93"/>
      <c r="Q31" s="93"/>
      <c r="R31" s="156"/>
      <c r="S31" s="153"/>
      <c r="T31" s="153"/>
      <c r="U31" s="93"/>
      <c r="V31" s="93"/>
    </row>
    <row r="32" spans="1:22" s="88" customFormat="1" ht="12.75" hidden="1">
      <c r="A32" s="105">
        <v>6</v>
      </c>
      <c r="C32" s="121" t="s">
        <v>693</v>
      </c>
      <c r="E32" s="122" t="s">
        <v>694</v>
      </c>
      <c r="I32" s="158">
        <v>0</v>
      </c>
      <c r="J32" s="152"/>
      <c r="K32" s="158"/>
      <c r="L32" s="110"/>
      <c r="M32" s="93"/>
      <c r="N32" s="93"/>
      <c r="O32" s="155"/>
      <c r="P32" s="93"/>
      <c r="Q32" s="93"/>
      <c r="R32" s="156"/>
      <c r="S32" s="153"/>
      <c r="T32" s="153"/>
      <c r="U32" s="93"/>
      <c r="V32" s="93"/>
    </row>
    <row r="33" spans="1:22" s="88" customFormat="1" ht="16.5" customHeight="1">
      <c r="A33" s="105">
        <v>7</v>
      </c>
      <c r="C33" s="126" t="s">
        <v>695</v>
      </c>
      <c r="E33" s="127" t="s">
        <v>696</v>
      </c>
      <c r="I33" s="128">
        <v>18792449</v>
      </c>
      <c r="J33" s="152"/>
      <c r="K33" s="128">
        <v>231308322</v>
      </c>
      <c r="L33" s="110"/>
      <c r="M33" s="139"/>
      <c r="N33" s="155"/>
      <c r="O33" s="93"/>
      <c r="P33" s="93"/>
      <c r="Q33" s="93"/>
      <c r="R33" s="156"/>
      <c r="S33" s="153"/>
      <c r="T33" s="153"/>
      <c r="U33" s="93"/>
      <c r="V33" s="93"/>
    </row>
    <row r="34" spans="1:22" s="160" customFormat="1" ht="14.25">
      <c r="A34" s="159"/>
      <c r="C34" s="161" t="s">
        <v>697</v>
      </c>
      <c r="E34" s="144">
        <v>30</v>
      </c>
      <c r="F34" s="142"/>
      <c r="G34" s="142"/>
      <c r="H34" s="142"/>
      <c r="I34" s="162">
        <f>SUM(I26:I33)</f>
        <v>-3342829907</v>
      </c>
      <c r="J34" s="146"/>
      <c r="K34" s="162">
        <f>K26+K27+K28+K29+K31+K32+K33</f>
        <v>-1128411381</v>
      </c>
      <c r="L34" s="147"/>
      <c r="M34" s="163"/>
      <c r="N34" s="150"/>
      <c r="O34" s="164"/>
      <c r="P34" s="164"/>
      <c r="Q34" s="164"/>
      <c r="R34" s="165"/>
      <c r="S34" s="148"/>
      <c r="T34" s="148"/>
      <c r="U34" s="164"/>
      <c r="V34" s="164"/>
    </row>
    <row r="35" spans="1:22" s="88" customFormat="1" ht="3" customHeight="1">
      <c r="A35" s="105"/>
      <c r="C35" s="121"/>
      <c r="E35" s="122"/>
      <c r="I35" s="151"/>
      <c r="J35" s="152"/>
      <c r="K35" s="151"/>
      <c r="L35" s="110"/>
      <c r="M35" s="139"/>
      <c r="N35" s="93"/>
      <c r="O35" s="93"/>
      <c r="P35" s="93"/>
      <c r="Q35" s="93"/>
      <c r="R35" s="93"/>
      <c r="S35" s="93"/>
      <c r="T35" s="93"/>
      <c r="U35" s="93"/>
      <c r="V35" s="93"/>
    </row>
    <row r="36" spans="1:22" s="88" customFormat="1" ht="15">
      <c r="A36" s="111" t="s">
        <v>698</v>
      </c>
      <c r="B36" s="112"/>
      <c r="C36" s="166" t="s">
        <v>699</v>
      </c>
      <c r="E36" s="122"/>
      <c r="I36" s="151"/>
      <c r="J36" s="152"/>
      <c r="K36" s="151"/>
      <c r="L36" s="110"/>
      <c r="M36" s="139"/>
      <c r="N36" s="93"/>
      <c r="O36" s="93"/>
      <c r="P36" s="93"/>
      <c r="Q36" s="93"/>
      <c r="R36" s="156"/>
      <c r="S36" s="153"/>
      <c r="T36" s="153"/>
      <c r="U36" s="93"/>
      <c r="V36" s="93"/>
    </row>
    <row r="37" spans="1:22" s="88" customFormat="1" ht="3" customHeight="1">
      <c r="A37" s="105"/>
      <c r="C37" s="121"/>
      <c r="E37" s="122"/>
      <c r="I37" s="151"/>
      <c r="J37" s="152"/>
      <c r="K37" s="151"/>
      <c r="L37" s="110"/>
      <c r="M37" s="139"/>
      <c r="N37" s="93"/>
      <c r="O37" s="93"/>
      <c r="P37" s="93"/>
      <c r="Q37" s="93"/>
      <c r="R37" s="93"/>
      <c r="S37" s="93"/>
      <c r="T37" s="93"/>
      <c r="U37" s="93"/>
      <c r="V37" s="93"/>
    </row>
    <row r="38" spans="1:22" s="88" customFormat="1" ht="25.5">
      <c r="A38" s="125">
        <v>1</v>
      </c>
      <c r="C38" s="167" t="s">
        <v>700</v>
      </c>
      <c r="E38" s="127">
        <v>31</v>
      </c>
      <c r="I38" s="168">
        <v>0</v>
      </c>
      <c r="J38" s="152"/>
      <c r="K38" s="168">
        <v>0</v>
      </c>
      <c r="L38" s="110"/>
      <c r="M38" s="139"/>
      <c r="N38" s="93"/>
      <c r="O38" s="93"/>
      <c r="P38" s="93"/>
      <c r="Q38" s="93"/>
      <c r="R38" s="156"/>
      <c r="S38" s="153"/>
      <c r="T38" s="153"/>
      <c r="U38" s="93"/>
      <c r="V38" s="93"/>
    </row>
    <row r="39" spans="1:22" s="88" customFormat="1" ht="28.5" customHeight="1">
      <c r="A39" s="125">
        <v>2</v>
      </c>
      <c r="C39" s="167" t="s">
        <v>701</v>
      </c>
      <c r="E39" s="127">
        <v>32</v>
      </c>
      <c r="I39" s="168">
        <v>0</v>
      </c>
      <c r="J39" s="152"/>
      <c r="K39" s="168">
        <v>0</v>
      </c>
      <c r="L39" s="110"/>
      <c r="M39" s="139"/>
      <c r="N39" s="93"/>
      <c r="O39" s="93"/>
      <c r="P39" s="93"/>
      <c r="Q39" s="93"/>
      <c r="R39" s="156"/>
      <c r="S39" s="153"/>
      <c r="T39" s="153"/>
      <c r="U39" s="93"/>
      <c r="V39" s="93"/>
    </row>
    <row r="40" spans="1:22" s="88" customFormat="1" ht="14.25">
      <c r="A40" s="105">
        <v>3</v>
      </c>
      <c r="C40" s="136" t="s">
        <v>702</v>
      </c>
      <c r="E40" s="122">
        <v>33</v>
      </c>
      <c r="I40" s="122">
        <v>1000000000</v>
      </c>
      <c r="J40" s="123"/>
      <c r="K40" s="122"/>
      <c r="L40" s="110"/>
      <c r="M40" s="139"/>
      <c r="N40" s="93"/>
      <c r="O40" s="93"/>
      <c r="P40" s="93"/>
      <c r="Q40" s="93"/>
      <c r="R40" s="156"/>
      <c r="S40" s="153"/>
      <c r="T40" s="153"/>
      <c r="U40" s="93"/>
      <c r="V40" s="93"/>
    </row>
    <row r="41" spans="1:22" s="88" customFormat="1" ht="14.25">
      <c r="A41" s="105">
        <v>4</v>
      </c>
      <c r="C41" s="136" t="s">
        <v>703</v>
      </c>
      <c r="E41" s="122">
        <v>34</v>
      </c>
      <c r="I41" s="122">
        <f>-(969038000+3501523000+1250000000+16900000+68400000)</f>
        <v>-5805861000</v>
      </c>
      <c r="J41" s="123"/>
      <c r="K41" s="122">
        <f>-1007000000</f>
        <v>-1007000000</v>
      </c>
      <c r="L41" s="110"/>
      <c r="M41" s="139"/>
      <c r="N41" s="93"/>
      <c r="O41" s="93"/>
      <c r="P41" s="93"/>
      <c r="Q41" s="93"/>
      <c r="R41" s="93"/>
      <c r="S41" s="93"/>
      <c r="T41" s="93"/>
      <c r="U41" s="93"/>
      <c r="V41" s="93"/>
    </row>
    <row r="42" spans="1:22" s="88" customFormat="1" ht="14.25">
      <c r="A42" s="105">
        <v>5</v>
      </c>
      <c r="C42" s="121" t="s">
        <v>704</v>
      </c>
      <c r="E42" s="122">
        <v>35</v>
      </c>
      <c r="I42" s="151">
        <v>0</v>
      </c>
      <c r="J42" s="152"/>
      <c r="K42" s="151">
        <v>-90000000</v>
      </c>
      <c r="L42" s="110"/>
      <c r="M42" s="139"/>
      <c r="N42" s="93"/>
      <c r="O42" s="93"/>
      <c r="P42" s="93"/>
      <c r="Q42" s="93"/>
      <c r="R42" s="93"/>
      <c r="S42" s="93"/>
      <c r="T42" s="93"/>
      <c r="U42" s="93"/>
      <c r="V42" s="93"/>
    </row>
    <row r="43" spans="1:22" s="88" customFormat="1" ht="14.25">
      <c r="A43" s="105">
        <v>6</v>
      </c>
      <c r="C43" s="121" t="s">
        <v>705</v>
      </c>
      <c r="E43" s="122">
        <v>36</v>
      </c>
      <c r="I43" s="151">
        <f>-4063092069</f>
        <v>-4063092069</v>
      </c>
      <c r="J43" s="152"/>
      <c r="K43" s="151">
        <v>0</v>
      </c>
      <c r="L43" s="110"/>
      <c r="M43" s="139"/>
      <c r="N43" s="93"/>
      <c r="O43" s="93"/>
      <c r="P43" s="93"/>
      <c r="Q43" s="93"/>
      <c r="R43" s="93"/>
      <c r="S43" s="93"/>
      <c r="T43" s="93"/>
      <c r="U43" s="93"/>
      <c r="V43" s="93"/>
    </row>
    <row r="44" spans="1:22" s="160" customFormat="1" ht="15" customHeight="1">
      <c r="A44" s="159"/>
      <c r="C44" s="161" t="s">
        <v>706</v>
      </c>
      <c r="E44" s="144">
        <v>40</v>
      </c>
      <c r="F44" s="142"/>
      <c r="G44" s="142"/>
      <c r="H44" s="142"/>
      <c r="I44" s="162">
        <f>SUM(I38:I43)</f>
        <v>-8868953069</v>
      </c>
      <c r="J44" s="169"/>
      <c r="K44" s="162">
        <f>K38+K39+K40+K41+K42+K43</f>
        <v>-1097000000</v>
      </c>
      <c r="L44" s="170"/>
      <c r="M44" s="163"/>
      <c r="N44" s="164"/>
      <c r="O44" s="164"/>
      <c r="P44" s="164"/>
      <c r="Q44" s="164"/>
      <c r="R44" s="164"/>
      <c r="S44" s="164"/>
      <c r="T44" s="164"/>
      <c r="U44" s="164"/>
      <c r="V44" s="164"/>
    </row>
    <row r="45" spans="1:13" s="88" customFormat="1" ht="3" customHeight="1">
      <c r="A45" s="105"/>
      <c r="C45" s="121"/>
      <c r="E45" s="122"/>
      <c r="I45" s="151"/>
      <c r="J45" s="152"/>
      <c r="K45" s="151"/>
      <c r="L45" s="110"/>
      <c r="M45" s="78"/>
    </row>
    <row r="46" spans="1:15" s="106" customFormat="1" ht="15.75" customHeight="1">
      <c r="A46" s="171"/>
      <c r="C46" s="166" t="s">
        <v>707</v>
      </c>
      <c r="E46" s="172">
        <v>50</v>
      </c>
      <c r="I46" s="173">
        <f>I44+I34+I22</f>
        <v>502525326</v>
      </c>
      <c r="J46" s="174"/>
      <c r="K46" s="173">
        <f>K22+K34+K44</f>
        <v>-785097659</v>
      </c>
      <c r="L46" s="175"/>
      <c r="M46" s="78"/>
      <c r="O46" s="88"/>
    </row>
    <row r="47" spans="1:13" s="88" customFormat="1" ht="3" customHeight="1">
      <c r="A47" s="105"/>
      <c r="C47" s="121"/>
      <c r="E47" s="122"/>
      <c r="I47" s="151"/>
      <c r="J47" s="152"/>
      <c r="K47" s="151"/>
      <c r="L47" s="110"/>
      <c r="M47" s="78"/>
    </row>
    <row r="48" spans="1:13" s="88" customFormat="1" ht="14.25">
      <c r="A48" s="105"/>
      <c r="C48" s="121" t="s">
        <v>708</v>
      </c>
      <c r="E48" s="122">
        <v>60</v>
      </c>
      <c r="I48" s="151">
        <v>676823832</v>
      </c>
      <c r="J48" s="152"/>
      <c r="K48" s="151">
        <f>I51</f>
        <v>1179349158</v>
      </c>
      <c r="L48" s="110"/>
      <c r="M48" s="78"/>
    </row>
    <row r="49" spans="1:13" s="88" customFormat="1" ht="26.25" customHeight="1">
      <c r="A49" s="105"/>
      <c r="C49" s="176" t="s">
        <v>760</v>
      </c>
      <c r="E49" s="122" t="s">
        <v>709</v>
      </c>
      <c r="I49" s="157">
        <v>0</v>
      </c>
      <c r="J49" s="152"/>
      <c r="K49" s="157">
        <v>0</v>
      </c>
      <c r="L49" s="110"/>
      <c r="M49" s="78"/>
    </row>
    <row r="50" spans="1:13" s="88" customFormat="1" ht="3" customHeight="1">
      <c r="A50" s="105"/>
      <c r="C50" s="121"/>
      <c r="E50" s="122"/>
      <c r="I50" s="151"/>
      <c r="J50" s="152"/>
      <c r="K50" s="151"/>
      <c r="L50" s="110"/>
      <c r="M50" s="78"/>
    </row>
    <row r="51" spans="1:20" s="106" customFormat="1" ht="15">
      <c r="A51" s="171"/>
      <c r="C51" s="166" t="s">
        <v>710</v>
      </c>
      <c r="E51" s="172">
        <v>70</v>
      </c>
      <c r="G51" s="171" t="s">
        <v>711</v>
      </c>
      <c r="I51" s="173">
        <f>I46+I48+I49</f>
        <v>1179349158</v>
      </c>
      <c r="J51" s="174"/>
      <c r="K51" s="173">
        <f>K46+K48+K49</f>
        <v>394251499</v>
      </c>
      <c r="L51" s="175"/>
      <c r="M51" s="177"/>
      <c r="N51" s="175"/>
      <c r="O51" s="110"/>
      <c r="P51" s="175"/>
      <c r="Q51" s="175"/>
      <c r="R51" s="175"/>
      <c r="S51" s="175"/>
      <c r="T51" s="175"/>
    </row>
    <row r="52" spans="1:20" s="106" customFormat="1" ht="3.75" customHeight="1">
      <c r="A52" s="171"/>
      <c r="C52" s="166"/>
      <c r="E52" s="172"/>
      <c r="K52" s="178"/>
      <c r="L52" s="175"/>
      <c r="M52" s="175"/>
      <c r="N52" s="175"/>
      <c r="O52" s="110"/>
      <c r="P52" s="175"/>
      <c r="Q52" s="175"/>
      <c r="R52" s="175"/>
      <c r="S52" s="175"/>
      <c r="T52" s="175"/>
    </row>
    <row r="53" spans="1:20" s="106" customFormat="1" ht="15.75" customHeight="1">
      <c r="A53" s="171"/>
      <c r="C53" s="90"/>
      <c r="D53" s="90"/>
      <c r="E53" s="527" t="s">
        <v>722</v>
      </c>
      <c r="F53" s="527"/>
      <c r="G53" s="527"/>
      <c r="H53" s="527"/>
      <c r="I53" s="527"/>
      <c r="J53" s="527"/>
      <c r="K53" s="527"/>
      <c r="L53" s="175"/>
      <c r="M53" s="175"/>
      <c r="N53" s="175"/>
      <c r="O53" s="110"/>
      <c r="P53" s="175"/>
      <c r="Q53" s="175"/>
      <c r="R53" s="175"/>
      <c r="S53" s="175"/>
      <c r="T53" s="175"/>
    </row>
    <row r="54" spans="1:20" s="106" customFormat="1" ht="14.25">
      <c r="A54" s="171"/>
      <c r="C54" s="179"/>
      <c r="D54" s="179"/>
      <c r="E54" s="533" t="str">
        <f>'[1]PL 15in'!G45</f>
        <v>C«ng ty cp sara viÖt nam</v>
      </c>
      <c r="F54" s="533"/>
      <c r="G54" s="533"/>
      <c r="H54" s="533"/>
      <c r="I54" s="533"/>
      <c r="J54" s="533"/>
      <c r="K54" s="533"/>
      <c r="L54" s="175"/>
      <c r="M54" s="175"/>
      <c r="N54" s="175"/>
      <c r="O54" s="110"/>
      <c r="P54" s="175"/>
      <c r="Q54" s="175"/>
      <c r="R54" s="175"/>
      <c r="S54" s="175"/>
      <c r="T54" s="175"/>
    </row>
    <row r="55" spans="1:20" s="106" customFormat="1" ht="15.75" customHeight="1">
      <c r="A55" s="171"/>
      <c r="C55" s="180" t="s">
        <v>57</v>
      </c>
      <c r="D55" s="166"/>
      <c r="E55" s="534" t="s">
        <v>663</v>
      </c>
      <c r="F55" s="534"/>
      <c r="G55" s="534"/>
      <c r="H55" s="534"/>
      <c r="I55" s="534"/>
      <c r="J55" s="534"/>
      <c r="K55" s="534"/>
      <c r="L55" s="175"/>
      <c r="M55" s="175"/>
      <c r="N55" s="175"/>
      <c r="O55" s="110"/>
      <c r="P55" s="175"/>
      <c r="Q55" s="175"/>
      <c r="R55" s="175"/>
      <c r="S55" s="175"/>
      <c r="T55" s="175"/>
    </row>
    <row r="56" spans="1:15" s="106" customFormat="1" ht="14.25">
      <c r="A56" s="171"/>
      <c r="C56" s="181"/>
      <c r="D56" s="111"/>
      <c r="E56" s="111"/>
      <c r="F56" s="111"/>
      <c r="G56" s="111"/>
      <c r="H56" s="111"/>
      <c r="I56" s="111"/>
      <c r="J56" s="111"/>
      <c r="K56" s="182"/>
      <c r="L56" s="175"/>
      <c r="O56" s="88"/>
    </row>
    <row r="57" spans="1:15" s="106" customFormat="1" ht="15.75" customHeight="1">
      <c r="A57" s="171"/>
      <c r="C57" s="183"/>
      <c r="D57" s="111"/>
      <c r="E57" s="111"/>
      <c r="F57" s="111"/>
      <c r="G57" s="111"/>
      <c r="H57" s="111"/>
      <c r="I57" s="111"/>
      <c r="J57" s="111"/>
      <c r="K57" s="182"/>
      <c r="L57" s="175"/>
      <c r="O57" s="88"/>
    </row>
    <row r="58" spans="1:12" s="88" customFormat="1" ht="10.5" customHeight="1">
      <c r="A58" s="105"/>
      <c r="C58" s="184"/>
      <c r="D58" s="166"/>
      <c r="E58" s="185"/>
      <c r="F58" s="185"/>
      <c r="G58" s="185"/>
      <c r="H58" s="185"/>
      <c r="I58" s="185"/>
      <c r="J58" s="185"/>
      <c r="K58" s="186"/>
      <c r="L58" s="110"/>
    </row>
    <row r="59" spans="1:12" s="88" customFormat="1" ht="15.75" customHeight="1">
      <c r="A59" s="105"/>
      <c r="L59" s="110"/>
    </row>
    <row r="60" spans="1:12" s="88" customFormat="1" ht="17.25" customHeight="1">
      <c r="A60" s="187"/>
      <c r="B60" s="78"/>
      <c r="C60" s="171" t="s">
        <v>723</v>
      </c>
      <c r="E60" s="534" t="str">
        <f>'[1]PL 15in'!G54</f>
        <v>NguyÔn ThÕ S¬n</v>
      </c>
      <c r="F60" s="534"/>
      <c r="G60" s="534"/>
      <c r="H60" s="534"/>
      <c r="I60" s="534"/>
      <c r="J60" s="534"/>
      <c r="K60" s="534"/>
      <c r="L60" s="110"/>
    </row>
    <row r="61" spans="1:12" s="88" customFormat="1" ht="12.75">
      <c r="A61" s="105"/>
      <c r="K61" s="109"/>
      <c r="L61" s="110"/>
    </row>
    <row r="62" spans="1:12" s="88" customFormat="1" ht="12.75">
      <c r="A62" s="105"/>
      <c r="K62" s="109"/>
      <c r="L62" s="110"/>
    </row>
    <row r="63" spans="1:12" s="88" customFormat="1" ht="12.75">
      <c r="A63" s="105"/>
      <c r="K63" s="109"/>
      <c r="L63" s="110"/>
    </row>
    <row r="64" spans="1:12" s="88" customFormat="1" ht="12.75">
      <c r="A64" s="105"/>
      <c r="K64" s="109"/>
      <c r="L64" s="110"/>
    </row>
    <row r="65" spans="1:12" s="88" customFormat="1" ht="12.75">
      <c r="A65" s="105"/>
      <c r="K65" s="109"/>
      <c r="L65" s="110"/>
    </row>
    <row r="66" spans="1:12" s="88" customFormat="1" ht="12.75">
      <c r="A66" s="105"/>
      <c r="K66" s="109"/>
      <c r="L66" s="110"/>
    </row>
    <row r="67" spans="1:12" s="88" customFormat="1" ht="12.75">
      <c r="A67" s="105"/>
      <c r="K67" s="109"/>
      <c r="L67" s="110"/>
    </row>
    <row r="68" spans="1:12" s="88" customFormat="1" ht="12.75">
      <c r="A68" s="105"/>
      <c r="K68" s="109"/>
      <c r="L68" s="110"/>
    </row>
    <row r="69" spans="1:12" s="88" customFormat="1" ht="12.75">
      <c r="A69" s="105"/>
      <c r="K69" s="109"/>
      <c r="L69" s="110"/>
    </row>
    <row r="70" spans="1:12" s="88" customFormat="1" ht="12.75">
      <c r="A70" s="105"/>
      <c r="K70" s="109"/>
      <c r="L70" s="110"/>
    </row>
    <row r="71" spans="1:12" s="88" customFormat="1" ht="12.75">
      <c r="A71" s="105"/>
      <c r="K71" s="109"/>
      <c r="L71" s="110"/>
    </row>
    <row r="72" spans="1:12" s="88" customFormat="1" ht="12.75">
      <c r="A72" s="105"/>
      <c r="K72" s="109"/>
      <c r="L72" s="110"/>
    </row>
    <row r="73" spans="1:12" s="88" customFormat="1" ht="12.75">
      <c r="A73" s="105"/>
      <c r="K73" s="109"/>
      <c r="L73" s="110"/>
    </row>
    <row r="74" spans="1:12" s="88" customFormat="1" ht="12.75">
      <c r="A74" s="105"/>
      <c r="K74" s="109"/>
      <c r="L74" s="110"/>
    </row>
    <row r="75" spans="1:12" s="88" customFormat="1" ht="12.75">
      <c r="A75" s="105"/>
      <c r="K75" s="109"/>
      <c r="L75" s="110"/>
    </row>
    <row r="76" spans="1:12" s="88" customFormat="1" ht="12.75">
      <c r="A76" s="105"/>
      <c r="K76" s="109"/>
      <c r="L76" s="110"/>
    </row>
    <row r="77" spans="1:12" s="88" customFormat="1" ht="12.75">
      <c r="A77" s="105"/>
      <c r="K77" s="109"/>
      <c r="L77" s="110"/>
    </row>
    <row r="78" spans="1:12" s="88" customFormat="1" ht="12.75">
      <c r="A78" s="105"/>
      <c r="K78" s="109"/>
      <c r="L78" s="110"/>
    </row>
    <row r="79" spans="1:12" s="88" customFormat="1" ht="12.75">
      <c r="A79" s="105"/>
      <c r="K79" s="109"/>
      <c r="L79" s="110"/>
    </row>
    <row r="80" spans="1:12" s="88" customFormat="1" ht="12.75">
      <c r="A80" s="105"/>
      <c r="K80" s="109"/>
      <c r="L80" s="110"/>
    </row>
    <row r="81" spans="1:12" s="88" customFormat="1" ht="12.75">
      <c r="A81" s="105"/>
      <c r="K81" s="109"/>
      <c r="L81" s="110"/>
    </row>
    <row r="82" spans="1:12" s="88" customFormat="1" ht="12.75">
      <c r="A82" s="105"/>
      <c r="K82" s="109"/>
      <c r="L82" s="110"/>
    </row>
    <row r="83" spans="1:12" s="88" customFormat="1" ht="12.75">
      <c r="A83" s="105"/>
      <c r="K83" s="109"/>
      <c r="L83" s="110"/>
    </row>
    <row r="84" spans="1:12" s="88" customFormat="1" ht="12.75">
      <c r="A84" s="105"/>
      <c r="K84" s="109"/>
      <c r="L84" s="110"/>
    </row>
    <row r="85" spans="1:12" s="88" customFormat="1" ht="12.75">
      <c r="A85" s="105"/>
      <c r="K85" s="109"/>
      <c r="L85" s="110"/>
    </row>
    <row r="86" spans="1:12" s="88" customFormat="1" ht="12.75">
      <c r="A86" s="105"/>
      <c r="K86" s="109"/>
      <c r="L86" s="110"/>
    </row>
    <row r="87" spans="1:12" s="88" customFormat="1" ht="12.75">
      <c r="A87" s="105"/>
      <c r="K87" s="109"/>
      <c r="L87" s="110"/>
    </row>
    <row r="88" ht="12.75">
      <c r="A88" s="188"/>
    </row>
    <row r="89" ht="12.75">
      <c r="A89" s="188"/>
    </row>
    <row r="90" ht="12.75">
      <c r="A90" s="188"/>
    </row>
    <row r="91" ht="12.75">
      <c r="A91" s="188"/>
    </row>
    <row r="92" ht="12.75">
      <c r="A92" s="188"/>
    </row>
    <row r="93" ht="12.75">
      <c r="A93" s="188"/>
    </row>
    <row r="94" ht="12.75">
      <c r="A94" s="188"/>
    </row>
    <row r="95" ht="12.75">
      <c r="A95" s="188"/>
    </row>
    <row r="96" ht="12.75">
      <c r="A96" s="188"/>
    </row>
    <row r="97" ht="12.75">
      <c r="A97" s="188"/>
    </row>
    <row r="98" ht="12.75">
      <c r="A98" s="188"/>
    </row>
    <row r="99" ht="12.75">
      <c r="A99" s="188"/>
    </row>
    <row r="100" ht="12.75">
      <c r="A100" s="188"/>
    </row>
    <row r="101" ht="12.75">
      <c r="A101" s="188"/>
    </row>
    <row r="102" ht="12.75">
      <c r="A102" s="188"/>
    </row>
    <row r="103" ht="12.75">
      <c r="A103" s="188"/>
    </row>
    <row r="104" ht="12.75">
      <c r="A104" s="188"/>
    </row>
    <row r="105" ht="12.75">
      <c r="A105" s="188"/>
    </row>
    <row r="106" ht="12.75">
      <c r="A106" s="188"/>
    </row>
    <row r="107" ht="12.75">
      <c r="A107" s="188"/>
    </row>
    <row r="108" ht="12.75">
      <c r="A108" s="188"/>
    </row>
    <row r="109" ht="12.75">
      <c r="A109" s="188"/>
    </row>
    <row r="110" ht="12.75">
      <c r="A110" s="188"/>
    </row>
    <row r="111" ht="12.75">
      <c r="A111" s="188"/>
    </row>
    <row r="112" ht="12.75">
      <c r="A112" s="188"/>
    </row>
    <row r="113" ht="12.75">
      <c r="A113" s="188"/>
    </row>
    <row r="114" ht="12.75">
      <c r="A114" s="188"/>
    </row>
    <row r="115" ht="12.75">
      <c r="A115" s="188"/>
    </row>
    <row r="116" ht="12.75">
      <c r="A116" s="188"/>
    </row>
    <row r="117" ht="12.75">
      <c r="A117" s="188"/>
    </row>
    <row r="118" ht="12.75">
      <c r="A118" s="188"/>
    </row>
    <row r="119" ht="12.75">
      <c r="A119" s="188"/>
    </row>
    <row r="120" ht="12.75">
      <c r="A120" s="188"/>
    </row>
    <row r="121" ht="12.75">
      <c r="A121" s="188"/>
    </row>
  </sheetData>
  <mergeCells count="7">
    <mergeCell ref="E54:K54"/>
    <mergeCell ref="E55:K55"/>
    <mergeCell ref="E60:K60"/>
    <mergeCell ref="A6:K6"/>
    <mergeCell ref="A7:K7"/>
    <mergeCell ref="A8:K8"/>
    <mergeCell ref="E53:K5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4"/>
  <sheetViews>
    <sheetView tabSelected="1" workbookViewId="0" topLeftCell="A317">
      <selection activeCell="D30" sqref="D30"/>
    </sheetView>
  </sheetViews>
  <sheetFormatPr defaultColWidth="9.140625" defaultRowHeight="12.75"/>
  <cols>
    <col min="1" max="1" width="5.8515625" style="251" customWidth="1"/>
    <col min="2" max="2" width="26.28125" style="229" customWidth="1"/>
    <col min="3" max="3" width="0.42578125" style="252" hidden="1" customWidth="1"/>
    <col min="4" max="4" width="17.28125" style="247" customWidth="1"/>
    <col min="5" max="5" width="0.5625" style="252" hidden="1" customWidth="1"/>
    <col min="6" max="6" width="14.57421875" style="247" customWidth="1"/>
    <col min="7" max="7" width="0.5625" style="252" hidden="1" customWidth="1"/>
    <col min="8" max="8" width="17.421875" style="247" customWidth="1"/>
    <col min="9" max="9" width="1.57421875" style="253" customWidth="1"/>
    <col min="10" max="10" width="17.7109375" style="228" customWidth="1"/>
    <col min="11" max="11" width="0.5625" style="228" customWidth="1"/>
    <col min="12" max="12" width="9.140625" style="229" customWidth="1"/>
    <col min="13" max="13" width="18.7109375" style="229" bestFit="1" customWidth="1"/>
    <col min="14" max="15" width="19.28125" style="229" bestFit="1" customWidth="1"/>
    <col min="16" max="16" width="16.28125" style="229" bestFit="1" customWidth="1"/>
    <col min="17" max="16384" width="9.140625" style="229" customWidth="1"/>
  </cols>
  <sheetData>
    <row r="1" spans="1:11" s="195" customFormat="1" ht="16.5">
      <c r="A1" s="193" t="str">
        <f>'[2]PL 15in'!A1</f>
        <v>C«ng ty cp sara viÖt nam</v>
      </c>
      <c r="B1" s="194"/>
      <c r="C1" s="194"/>
      <c r="D1" s="194"/>
      <c r="E1" s="194"/>
      <c r="J1" s="196" t="s">
        <v>379</v>
      </c>
      <c r="K1" s="197"/>
    </row>
    <row r="2" spans="1:11" s="195" customFormat="1" ht="16.5">
      <c r="A2" s="198" t="str">
        <f>'[2]PL 15in'!A2</f>
        <v>P205 A5 K§T §¹i Kim - §Þnh C«ng - Hoµng Mai - Hµ Néi</v>
      </c>
      <c r="B2" s="194"/>
      <c r="C2" s="194"/>
      <c r="D2" s="194"/>
      <c r="E2" s="194"/>
      <c r="F2" s="199"/>
      <c r="G2" s="200"/>
      <c r="H2" s="510" t="s">
        <v>724</v>
      </c>
      <c r="I2" s="510"/>
      <c r="J2" s="510"/>
      <c r="K2" s="197"/>
    </row>
    <row r="3" spans="1:11" s="195" customFormat="1" ht="15">
      <c r="A3" s="201" t="str">
        <f>'[2]PL 15in'!A3</f>
        <v>Tel:   (84 - 04) 6 413 757     Fax: (84 - 04) 6 413 575</v>
      </c>
      <c r="B3" s="202"/>
      <c r="C3" s="203"/>
      <c r="D3" s="203"/>
      <c r="E3" s="204"/>
      <c r="F3" s="199"/>
      <c r="G3" s="199"/>
      <c r="H3" s="199"/>
      <c r="I3" s="199"/>
      <c r="J3" s="205"/>
      <c r="K3" s="197"/>
    </row>
    <row r="4" spans="1:11" s="195" customFormat="1" ht="5.25" customHeight="1">
      <c r="A4" s="561"/>
      <c r="B4" s="561"/>
      <c r="C4" s="561"/>
      <c r="D4" s="561"/>
      <c r="E4" s="561"/>
      <c r="F4" s="561"/>
      <c r="G4" s="561"/>
      <c r="H4" s="561"/>
      <c r="I4" s="561"/>
      <c r="J4" s="561"/>
      <c r="K4" s="206"/>
    </row>
    <row r="5" spans="1:11" s="208" customFormat="1" ht="15">
      <c r="A5" s="562" t="s">
        <v>380</v>
      </c>
      <c r="B5" s="562"/>
      <c r="C5" s="562"/>
      <c r="D5" s="562"/>
      <c r="E5" s="562"/>
      <c r="F5" s="562"/>
      <c r="G5" s="562"/>
      <c r="H5" s="562"/>
      <c r="I5" s="562"/>
      <c r="J5" s="562"/>
      <c r="K5" s="207"/>
    </row>
    <row r="6" spans="1:11" s="208" customFormat="1" ht="17.25">
      <c r="A6" s="563" t="s">
        <v>381</v>
      </c>
      <c r="B6" s="563"/>
      <c r="C6" s="563"/>
      <c r="D6" s="563"/>
      <c r="E6" s="563"/>
      <c r="F6" s="563"/>
      <c r="G6" s="563"/>
      <c r="H6" s="563"/>
      <c r="I6" s="563"/>
      <c r="J6" s="563"/>
      <c r="K6" s="207"/>
    </row>
    <row r="7" spans="1:11" s="208" customFormat="1" ht="15">
      <c r="A7" s="564" t="s">
        <v>725</v>
      </c>
      <c r="B7" s="564"/>
      <c r="C7" s="564"/>
      <c r="D7" s="564"/>
      <c r="E7" s="564"/>
      <c r="F7" s="564"/>
      <c r="G7" s="564"/>
      <c r="H7" s="564"/>
      <c r="I7" s="564"/>
      <c r="J7" s="564"/>
      <c r="K7" s="207"/>
    </row>
    <row r="8" spans="1:11" s="195" customFormat="1" ht="15">
      <c r="A8" s="565" t="s">
        <v>382</v>
      </c>
      <c r="B8" s="565"/>
      <c r="C8" s="565"/>
      <c r="D8" s="565"/>
      <c r="E8" s="565"/>
      <c r="F8" s="565"/>
      <c r="G8" s="565"/>
      <c r="H8" s="565"/>
      <c r="I8" s="565"/>
      <c r="J8" s="565"/>
      <c r="K8" s="210"/>
    </row>
    <row r="9" spans="1:11" s="195" customFormat="1" ht="16.5" hidden="1">
      <c r="A9" s="211" t="s">
        <v>383</v>
      </c>
      <c r="B9" s="566" t="s">
        <v>384</v>
      </c>
      <c r="C9" s="567"/>
      <c r="D9" s="567"/>
      <c r="E9" s="567"/>
      <c r="F9" s="567"/>
      <c r="G9" s="567"/>
      <c r="H9" s="567"/>
      <c r="I9" s="567"/>
      <c r="J9" s="567"/>
      <c r="K9" s="212"/>
    </row>
    <row r="10" spans="1:11" s="195" customFormat="1" ht="15" hidden="1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2"/>
    </row>
    <row r="11" spans="1:11" s="195" customFormat="1" ht="15" customHeight="1" hidden="1">
      <c r="A11" s="214" t="s">
        <v>385</v>
      </c>
      <c r="B11" s="215" t="s">
        <v>386</v>
      </c>
      <c r="C11" s="216"/>
      <c r="D11" s="217"/>
      <c r="E11" s="216"/>
      <c r="F11" s="217"/>
      <c r="G11" s="216"/>
      <c r="H11" s="218" t="s">
        <v>387</v>
      </c>
      <c r="I11" s="219"/>
      <c r="J11" s="218" t="s">
        <v>388</v>
      </c>
      <c r="K11" s="220"/>
    </row>
    <row r="12" spans="1:11" s="195" customFormat="1" ht="15" customHeight="1" hidden="1">
      <c r="A12" s="214"/>
      <c r="C12" s="216"/>
      <c r="D12" s="221"/>
      <c r="E12" s="216"/>
      <c r="F12" s="221"/>
      <c r="G12" s="216"/>
      <c r="H12" s="222" t="s">
        <v>389</v>
      </c>
      <c r="I12" s="221"/>
      <c r="J12" s="222" t="s">
        <v>389</v>
      </c>
      <c r="K12" s="223"/>
    </row>
    <row r="13" spans="1:10" ht="14.25" hidden="1">
      <c r="A13" s="224"/>
      <c r="B13" s="224"/>
      <c r="C13" s="224"/>
      <c r="D13" s="224"/>
      <c r="E13" s="224"/>
      <c r="F13" s="224"/>
      <c r="G13" s="225"/>
      <c r="H13" s="226"/>
      <c r="I13" s="227"/>
      <c r="J13" s="226"/>
    </row>
    <row r="14" spans="1:10" ht="14.25" hidden="1">
      <c r="A14" s="230" t="s">
        <v>390</v>
      </c>
      <c r="B14" s="230" t="s">
        <v>391</v>
      </c>
      <c r="C14" s="224"/>
      <c r="D14" s="224"/>
      <c r="E14" s="224"/>
      <c r="F14" s="224"/>
      <c r="G14" s="225"/>
      <c r="H14" s="231">
        <f>H15+H19</f>
        <v>676823832</v>
      </c>
      <c r="I14" s="232"/>
      <c r="J14" s="231">
        <f>J15+J19</f>
        <v>2780610059</v>
      </c>
    </row>
    <row r="15" spans="1:11" s="195" customFormat="1" ht="18.75" customHeight="1" hidden="1">
      <c r="A15" s="230"/>
      <c r="B15" s="233" t="s">
        <v>392</v>
      </c>
      <c r="C15" s="216"/>
      <c r="D15" s="234"/>
      <c r="E15" s="216"/>
      <c r="F15" s="234"/>
      <c r="G15" s="216"/>
      <c r="H15" s="235">
        <f>SUM(H17:H17)</f>
        <v>246685118</v>
      </c>
      <c r="I15" s="235"/>
      <c r="J15" s="235">
        <f>SUM(J17:J17)</f>
        <v>184385671</v>
      </c>
      <c r="K15" s="236"/>
    </row>
    <row r="16" spans="1:11" s="195" customFormat="1" ht="5.25" customHeight="1" hidden="1">
      <c r="A16" s="224"/>
      <c r="B16" s="224"/>
      <c r="C16" s="224"/>
      <c r="D16" s="224"/>
      <c r="E16" s="224"/>
      <c r="F16" s="224"/>
      <c r="G16" s="225"/>
      <c r="H16" s="231"/>
      <c r="I16" s="232"/>
      <c r="J16" s="231"/>
      <c r="K16" s="228"/>
    </row>
    <row r="17" spans="1:11" s="240" customFormat="1" ht="15" hidden="1">
      <c r="A17" s="230"/>
      <c r="B17" s="237" t="s">
        <v>393</v>
      </c>
      <c r="C17" s="237"/>
      <c r="D17" s="237"/>
      <c r="E17" s="237"/>
      <c r="F17" s="237"/>
      <c r="G17" s="237"/>
      <c r="H17" s="238">
        <v>246685118</v>
      </c>
      <c r="I17" s="238"/>
      <c r="J17" s="238">
        <v>184385671</v>
      </c>
      <c r="K17" s="239"/>
    </row>
    <row r="18" spans="1:10" ht="6" customHeight="1" hidden="1">
      <c r="A18" s="224"/>
      <c r="B18" s="224"/>
      <c r="C18" s="224"/>
      <c r="D18" s="224"/>
      <c r="E18" s="224"/>
      <c r="F18" s="224"/>
      <c r="G18" s="225"/>
      <c r="H18" s="231"/>
      <c r="I18" s="232"/>
      <c r="J18" s="231"/>
    </row>
    <row r="19" spans="1:11" ht="14.25" hidden="1">
      <c r="A19" s="230"/>
      <c r="B19" s="233" t="s">
        <v>394</v>
      </c>
      <c r="C19" s="216"/>
      <c r="D19" s="234"/>
      <c r="E19" s="216"/>
      <c r="F19" s="234"/>
      <c r="G19" s="216"/>
      <c r="H19" s="235">
        <f>SUM(H21:H23)</f>
        <v>430138714</v>
      </c>
      <c r="I19" s="241"/>
      <c r="J19" s="235">
        <f>SUM(J21:J23)</f>
        <v>2596224388</v>
      </c>
      <c r="K19" s="236"/>
    </row>
    <row r="20" spans="1:10" ht="6" customHeight="1" hidden="1">
      <c r="A20" s="224"/>
      <c r="B20" s="224"/>
      <c r="C20" s="224"/>
      <c r="D20" s="224"/>
      <c r="E20" s="224"/>
      <c r="F20" s="224"/>
      <c r="G20" s="225"/>
      <c r="H20" s="231"/>
      <c r="I20" s="232"/>
      <c r="J20" s="231"/>
    </row>
    <row r="21" spans="1:11" ht="15" hidden="1">
      <c r="A21" s="242"/>
      <c r="B21" s="237" t="s">
        <v>395</v>
      </c>
      <c r="C21" s="243"/>
      <c r="D21" s="243"/>
      <c r="E21" s="243"/>
      <c r="F21" s="243"/>
      <c r="G21" s="244"/>
      <c r="H21" s="245">
        <v>207644652</v>
      </c>
      <c r="I21" s="245"/>
      <c r="J21" s="246">
        <v>0</v>
      </c>
      <c r="K21" s="247"/>
    </row>
    <row r="22" spans="1:11" ht="15" hidden="1">
      <c r="A22" s="242"/>
      <c r="B22" s="237" t="s">
        <v>396</v>
      </c>
      <c r="C22" s="243"/>
      <c r="D22" s="243"/>
      <c r="E22" s="243"/>
      <c r="F22" s="243"/>
      <c r="G22" s="244"/>
      <c r="H22" s="245">
        <v>222423774</v>
      </c>
      <c r="I22" s="245"/>
      <c r="J22" s="246">
        <v>2595993667</v>
      </c>
      <c r="K22" s="247"/>
    </row>
    <row r="23" spans="1:11" ht="15" hidden="1">
      <c r="A23" s="242"/>
      <c r="B23" s="237" t="s">
        <v>397</v>
      </c>
      <c r="C23" s="243"/>
      <c r="D23" s="243"/>
      <c r="E23" s="243"/>
      <c r="F23" s="243"/>
      <c r="G23" s="244"/>
      <c r="H23" s="245">
        <v>70288</v>
      </c>
      <c r="I23" s="245"/>
      <c r="J23" s="246">
        <v>230721</v>
      </c>
      <c r="K23" s="247"/>
    </row>
    <row r="24" spans="1:10" ht="14.25" hidden="1">
      <c r="A24" s="224"/>
      <c r="B24" s="224"/>
      <c r="C24" s="224"/>
      <c r="D24" s="224"/>
      <c r="E24" s="224"/>
      <c r="F24" s="224"/>
      <c r="G24" s="225"/>
      <c r="H24" s="231"/>
      <c r="I24" s="232"/>
      <c r="J24" s="231"/>
    </row>
    <row r="25" spans="1:11" ht="15.75" hidden="1" thickBot="1">
      <c r="A25" s="214"/>
      <c r="B25" s="215" t="s">
        <v>398</v>
      </c>
      <c r="C25" s="248"/>
      <c r="D25" s="221"/>
      <c r="E25" s="248"/>
      <c r="F25" s="221"/>
      <c r="G25" s="248"/>
      <c r="H25" s="249">
        <f>H15+H19</f>
        <v>676823832</v>
      </c>
      <c r="I25" s="250"/>
      <c r="J25" s="249">
        <f>J15+J19</f>
        <v>2780610059</v>
      </c>
      <c r="K25" s="223"/>
    </row>
    <row r="26" ht="15" hidden="1">
      <c r="H26" s="228"/>
    </row>
    <row r="27" spans="1:11" s="195" customFormat="1" ht="15">
      <c r="A27" s="214" t="str">
        <f>LEFT(A11,1)+1&amp;"."</f>
        <v>2.</v>
      </c>
      <c r="B27" s="215" t="s">
        <v>399</v>
      </c>
      <c r="C27" s="216"/>
      <c r="D27" s="217"/>
      <c r="E27" s="216"/>
      <c r="F27" s="217"/>
      <c r="G27" s="216"/>
      <c r="H27" s="254">
        <v>39447</v>
      </c>
      <c r="I27" s="219"/>
      <c r="J27" s="254">
        <v>39356</v>
      </c>
      <c r="K27" s="228"/>
    </row>
    <row r="28" spans="1:11" s="195" customFormat="1" ht="12.75" customHeight="1">
      <c r="A28" s="214"/>
      <c r="C28" s="216"/>
      <c r="D28" s="221"/>
      <c r="E28" s="216"/>
      <c r="F28" s="221"/>
      <c r="G28" s="216"/>
      <c r="H28" s="222" t="s">
        <v>389</v>
      </c>
      <c r="I28" s="221"/>
      <c r="J28" s="222" t="s">
        <v>389</v>
      </c>
      <c r="K28" s="228"/>
    </row>
    <row r="29" spans="1:11" s="195" customFormat="1" ht="14.25">
      <c r="A29" s="255" t="s">
        <v>400</v>
      </c>
      <c r="B29" s="256" t="s">
        <v>401</v>
      </c>
      <c r="C29" s="242"/>
      <c r="D29" s="242"/>
      <c r="E29" s="242"/>
      <c r="F29" s="242"/>
      <c r="G29" s="216"/>
      <c r="H29" s="257">
        <f>SUM(H30:H35)</f>
        <v>5078363749</v>
      </c>
      <c r="I29" s="232"/>
      <c r="J29" s="257">
        <f>+SUM(J30:J34)</f>
        <v>8551653198</v>
      </c>
      <c r="K29" s="232"/>
    </row>
    <row r="30" spans="1:11" s="195" customFormat="1" ht="14.25">
      <c r="A30" s="224"/>
      <c r="B30" s="224"/>
      <c r="C30" s="224"/>
      <c r="D30" s="224"/>
      <c r="E30" s="224"/>
      <c r="F30" s="224"/>
      <c r="G30" s="225"/>
      <c r="H30" s="231"/>
      <c r="I30" s="232"/>
      <c r="J30" s="231"/>
      <c r="K30" s="232"/>
    </row>
    <row r="31" spans="1:11" s="195" customFormat="1" ht="14.25">
      <c r="A31" s="224"/>
      <c r="B31" s="199" t="s">
        <v>403</v>
      </c>
      <c r="C31" s="258"/>
      <c r="D31" s="258"/>
      <c r="E31" s="258"/>
      <c r="F31" s="258"/>
      <c r="G31" s="216"/>
      <c r="H31" s="216">
        <v>0</v>
      </c>
      <c r="I31" s="241"/>
      <c r="J31" s="216">
        <v>23382517</v>
      </c>
      <c r="K31" s="241"/>
    </row>
    <row r="32" spans="1:11" s="195" customFormat="1" ht="14.25">
      <c r="A32" s="224"/>
      <c r="B32" s="242" t="s">
        <v>712</v>
      </c>
      <c r="C32" s="224"/>
      <c r="D32" s="224"/>
      <c r="E32" s="224"/>
      <c r="F32" s="224"/>
      <c r="G32" s="225"/>
      <c r="H32" s="216">
        <v>97507001</v>
      </c>
      <c r="I32" s="232"/>
      <c r="J32" s="216">
        <v>3853072317</v>
      </c>
      <c r="K32" s="232"/>
    </row>
    <row r="33" spans="1:11" s="195" customFormat="1" ht="28.5">
      <c r="A33" s="224"/>
      <c r="B33" s="242" t="s">
        <v>713</v>
      </c>
      <c r="C33" s="224"/>
      <c r="D33" s="224"/>
      <c r="E33" s="224"/>
      <c r="F33" s="224"/>
      <c r="G33" s="225"/>
      <c r="H33" s="216">
        <v>4548859507</v>
      </c>
      <c r="I33" s="232"/>
      <c r="J33" s="216">
        <v>4400000000</v>
      </c>
      <c r="K33" s="232"/>
    </row>
    <row r="34" spans="1:11" s="195" customFormat="1" ht="14.25">
      <c r="A34" s="224"/>
      <c r="B34" s="195" t="s">
        <v>405</v>
      </c>
      <c r="C34" s="224"/>
      <c r="D34" s="224"/>
      <c r="E34" s="224"/>
      <c r="F34" s="224"/>
      <c r="G34" s="225"/>
      <c r="H34" s="216">
        <v>363273090</v>
      </c>
      <c r="I34" s="232"/>
      <c r="J34" s="216">
        <v>275198364</v>
      </c>
      <c r="K34" s="232"/>
    </row>
    <row r="35" spans="1:11" s="195" customFormat="1" ht="14.25">
      <c r="A35" s="224"/>
      <c r="B35" s="195" t="s">
        <v>757</v>
      </c>
      <c r="C35" s="224"/>
      <c r="D35" s="224"/>
      <c r="E35" s="224"/>
      <c r="F35" s="224"/>
      <c r="G35" s="225"/>
      <c r="H35" s="216">
        <v>68724151</v>
      </c>
      <c r="I35" s="232"/>
      <c r="J35" s="216">
        <v>0</v>
      </c>
      <c r="K35" s="232"/>
    </row>
    <row r="36" spans="1:11" s="195" customFormat="1" ht="15.75" thickBot="1">
      <c r="A36" s="214"/>
      <c r="B36" s="215" t="s">
        <v>398</v>
      </c>
      <c r="C36" s="248"/>
      <c r="D36" s="221"/>
      <c r="E36" s="248"/>
      <c r="F36" s="221"/>
      <c r="G36" s="248"/>
      <c r="H36" s="259">
        <f>H29</f>
        <v>5078363749</v>
      </c>
      <c r="I36" s="250"/>
      <c r="J36" s="259">
        <f>J29</f>
        <v>8551653198</v>
      </c>
      <c r="K36" s="250"/>
    </row>
    <row r="37" spans="8:11" ht="15.75" thickTop="1">
      <c r="H37" s="228"/>
      <c r="K37" s="253"/>
    </row>
    <row r="38" spans="1:11" s="195" customFormat="1" ht="15" customHeight="1">
      <c r="A38" s="214" t="str">
        <f>LEFT(A27,1)+1&amp;"."</f>
        <v>3.</v>
      </c>
      <c r="B38" s="215" t="s">
        <v>406</v>
      </c>
      <c r="C38" s="216"/>
      <c r="D38" s="217"/>
      <c r="E38" s="216"/>
      <c r="F38" s="217"/>
      <c r="G38" s="216"/>
      <c r="H38" s="254">
        <v>39447</v>
      </c>
      <c r="I38" s="219"/>
      <c r="J38" s="254">
        <v>39356</v>
      </c>
      <c r="K38" s="219"/>
    </row>
    <row r="39" spans="1:11" s="195" customFormat="1" ht="12.75" customHeight="1">
      <c r="A39" s="214"/>
      <c r="C39" s="216"/>
      <c r="D39" s="221"/>
      <c r="E39" s="216"/>
      <c r="F39" s="221"/>
      <c r="G39" s="216"/>
      <c r="H39" s="222" t="s">
        <v>389</v>
      </c>
      <c r="I39" s="221"/>
      <c r="J39" s="222" t="s">
        <v>389</v>
      </c>
      <c r="K39" s="221"/>
    </row>
    <row r="40" spans="1:11" s="195" customFormat="1" ht="14.25">
      <c r="A40" s="224"/>
      <c r="B40" s="224"/>
      <c r="C40" s="224"/>
      <c r="D40" s="224"/>
      <c r="E40" s="224"/>
      <c r="F40" s="224"/>
      <c r="G40" s="225"/>
      <c r="H40" s="226"/>
      <c r="I40" s="227"/>
      <c r="J40" s="226"/>
      <c r="K40" s="227"/>
    </row>
    <row r="41" spans="1:11" s="195" customFormat="1" ht="14.25" customHeight="1" hidden="1">
      <c r="A41" s="230" t="str">
        <f>LEFT($A$38,1)&amp;"."&amp;2</f>
        <v>3.2</v>
      </c>
      <c r="B41" s="230" t="s">
        <v>407</v>
      </c>
      <c r="C41" s="216"/>
      <c r="D41" s="234"/>
      <c r="E41" s="216"/>
      <c r="F41" s="234"/>
      <c r="G41" s="216"/>
      <c r="H41" s="257">
        <f>SUM(H43:H47)</f>
        <v>0</v>
      </c>
      <c r="I41" s="232"/>
      <c r="J41" s="257">
        <f>SUM(J43:J47)</f>
        <v>0</v>
      </c>
      <c r="K41" s="232"/>
    </row>
    <row r="42" spans="1:11" ht="14.25" customHeight="1" hidden="1">
      <c r="A42" s="224"/>
      <c r="B42" s="224"/>
      <c r="C42" s="224"/>
      <c r="D42" s="224"/>
      <c r="E42" s="224"/>
      <c r="F42" s="224"/>
      <c r="G42" s="225"/>
      <c r="H42" s="231"/>
      <c r="I42" s="232"/>
      <c r="J42" s="231"/>
      <c r="K42" s="232"/>
    </row>
    <row r="43" spans="1:11" ht="14.25" customHeight="1" hidden="1">
      <c r="A43" s="224"/>
      <c r="B43" s="258"/>
      <c r="C43" s="224"/>
      <c r="D43" s="224"/>
      <c r="E43" s="224"/>
      <c r="F43" s="224"/>
      <c r="G43" s="225"/>
      <c r="H43" s="231"/>
      <c r="I43" s="232"/>
      <c r="J43" s="231"/>
      <c r="K43" s="232"/>
    </row>
    <row r="44" spans="1:11" ht="15" customHeight="1" hidden="1">
      <c r="A44" s="224"/>
      <c r="B44" s="242"/>
      <c r="C44" s="224"/>
      <c r="D44" s="224"/>
      <c r="E44" s="224"/>
      <c r="F44" s="224"/>
      <c r="G44" s="225"/>
      <c r="H44" s="260"/>
      <c r="I44" s="232"/>
      <c r="J44" s="260"/>
      <c r="K44" s="232"/>
    </row>
    <row r="45" spans="1:11" ht="14.25" customHeight="1" hidden="1">
      <c r="A45" s="224"/>
      <c r="B45" s="258"/>
      <c r="C45" s="224"/>
      <c r="D45" s="224"/>
      <c r="E45" s="224"/>
      <c r="F45" s="224"/>
      <c r="G45" s="225"/>
      <c r="H45" s="231"/>
      <c r="I45" s="232"/>
      <c r="J45" s="231"/>
      <c r="K45" s="232"/>
    </row>
    <row r="46" spans="1:11" ht="14.25" customHeight="1" hidden="1">
      <c r="A46" s="224"/>
      <c r="B46" s="258"/>
      <c r="C46" s="224"/>
      <c r="D46" s="224"/>
      <c r="E46" s="224"/>
      <c r="F46" s="224"/>
      <c r="G46" s="225"/>
      <c r="H46" s="231"/>
      <c r="I46" s="232"/>
      <c r="J46" s="231"/>
      <c r="K46" s="232"/>
    </row>
    <row r="47" spans="1:11" ht="14.25" customHeight="1" hidden="1">
      <c r="A47" s="224"/>
      <c r="B47" s="258"/>
      <c r="C47" s="224"/>
      <c r="D47" s="224"/>
      <c r="E47" s="224"/>
      <c r="F47" s="224"/>
      <c r="G47" s="225"/>
      <c r="H47" s="231"/>
      <c r="I47" s="232"/>
      <c r="J47" s="231"/>
      <c r="K47" s="232"/>
    </row>
    <row r="48" spans="1:11" ht="14.25" customHeight="1" hidden="1">
      <c r="A48" s="224"/>
      <c r="B48" s="224"/>
      <c r="C48" s="224"/>
      <c r="D48" s="224"/>
      <c r="E48" s="224"/>
      <c r="F48" s="224"/>
      <c r="G48" s="225"/>
      <c r="H48" s="231"/>
      <c r="I48" s="232"/>
      <c r="J48" s="231"/>
      <c r="K48" s="232"/>
    </row>
    <row r="49" spans="1:11" s="195" customFormat="1" ht="14.25">
      <c r="A49" s="230" t="str">
        <f>LEFT($A$38,1)&amp;"."&amp;3</f>
        <v>3.3</v>
      </c>
      <c r="B49" s="230" t="s">
        <v>408</v>
      </c>
      <c r="C49" s="216"/>
      <c r="D49" s="234"/>
      <c r="E49" s="216"/>
      <c r="F49" s="234"/>
      <c r="G49" s="216"/>
      <c r="H49" s="257">
        <f>SUM(H51:H52)</f>
        <v>17564710881</v>
      </c>
      <c r="I49" s="232"/>
      <c r="J49" s="257">
        <f>SUM(J51:J52)</f>
        <v>13117444146</v>
      </c>
      <c r="K49" s="232"/>
    </row>
    <row r="50" spans="1:11" s="195" customFormat="1" ht="11.25" customHeight="1">
      <c r="A50" s="224"/>
      <c r="B50" s="224"/>
      <c r="C50" s="224"/>
      <c r="D50" s="224"/>
      <c r="E50" s="224"/>
      <c r="F50" s="224"/>
      <c r="G50" s="225"/>
      <c r="H50" s="231"/>
      <c r="I50" s="232"/>
      <c r="J50" s="231"/>
      <c r="K50" s="232"/>
    </row>
    <row r="51" spans="1:11" s="195" customFormat="1" ht="14.25">
      <c r="A51" s="230"/>
      <c r="B51" s="199" t="s">
        <v>409</v>
      </c>
      <c r="C51" s="216"/>
      <c r="D51" s="234"/>
      <c r="E51" s="216"/>
      <c r="F51" s="234"/>
      <c r="G51" s="216"/>
      <c r="H51" s="235">
        <v>17564710881</v>
      </c>
      <c r="I51" s="241"/>
      <c r="J51" s="235">
        <v>13117444146</v>
      </c>
      <c r="K51" s="241"/>
    </row>
    <row r="52" spans="1:11" s="195" customFormat="1" ht="14.25">
      <c r="A52" s="230"/>
      <c r="B52" s="199" t="s">
        <v>410</v>
      </c>
      <c r="C52" s="216"/>
      <c r="D52" s="234"/>
      <c r="E52" s="216"/>
      <c r="F52" s="234"/>
      <c r="G52" s="216"/>
      <c r="H52" s="235">
        <v>0</v>
      </c>
      <c r="I52" s="241"/>
      <c r="J52" s="235">
        <v>0</v>
      </c>
      <c r="K52" s="241"/>
    </row>
    <row r="53" spans="1:11" s="261" customFormat="1" ht="15" customHeight="1" hidden="1">
      <c r="A53" s="230" t="str">
        <f>LEFT($A$38,1)&amp;"."&amp;4</f>
        <v>3.4</v>
      </c>
      <c r="B53" s="230" t="s">
        <v>411</v>
      </c>
      <c r="C53" s="216"/>
      <c r="D53" s="234"/>
      <c r="E53" s="216"/>
      <c r="F53" s="234"/>
      <c r="G53" s="216"/>
      <c r="H53" s="257">
        <f>SUM(H55:H55)</f>
        <v>0</v>
      </c>
      <c r="I53" s="232"/>
      <c r="J53" s="257">
        <f>SUM(J55:J55)</f>
        <v>0</v>
      </c>
      <c r="K53" s="232"/>
    </row>
    <row r="54" spans="1:11" s="195" customFormat="1" ht="15" customHeight="1" hidden="1">
      <c r="A54" s="213"/>
      <c r="B54" s="213"/>
      <c r="C54" s="213"/>
      <c r="D54" s="213"/>
      <c r="E54" s="213"/>
      <c r="F54" s="213"/>
      <c r="G54" s="213"/>
      <c r="H54" s="262"/>
      <c r="I54" s="262"/>
      <c r="J54" s="262"/>
      <c r="K54" s="262"/>
    </row>
    <row r="55" spans="1:11" s="195" customFormat="1" ht="14.25" customHeight="1" hidden="1">
      <c r="A55" s="230"/>
      <c r="C55" s="216"/>
      <c r="D55" s="234"/>
      <c r="E55" s="216"/>
      <c r="F55" s="234"/>
      <c r="G55" s="216"/>
      <c r="H55" s="235"/>
      <c r="I55" s="241"/>
      <c r="J55" s="235"/>
      <c r="K55" s="241"/>
    </row>
    <row r="56" spans="1:11" ht="15" customHeight="1" hidden="1">
      <c r="A56" s="213"/>
      <c r="B56" s="213"/>
      <c r="C56" s="213"/>
      <c r="D56" s="213"/>
      <c r="E56" s="213"/>
      <c r="F56" s="213"/>
      <c r="G56" s="213"/>
      <c r="H56" s="262"/>
      <c r="I56" s="262"/>
      <c r="J56" s="262"/>
      <c r="K56" s="262"/>
    </row>
    <row r="57" spans="1:11" s="263" customFormat="1" ht="15" customHeight="1" hidden="1">
      <c r="A57" s="230" t="str">
        <f>LEFT($A$38,1)&amp;"."&amp;4</f>
        <v>3.4</v>
      </c>
      <c r="B57" s="230" t="s">
        <v>412</v>
      </c>
      <c r="C57" s="216"/>
      <c r="D57" s="234"/>
      <c r="E57" s="216"/>
      <c r="F57" s="234"/>
      <c r="G57" s="216"/>
      <c r="H57" s="257">
        <f>H59</f>
        <v>0</v>
      </c>
      <c r="I57" s="232"/>
      <c r="J57" s="257">
        <f>J59</f>
        <v>0</v>
      </c>
      <c r="K57" s="232"/>
    </row>
    <row r="58" spans="1:11" ht="14.25" customHeight="1" hidden="1">
      <c r="A58" s="224"/>
      <c r="B58" s="224"/>
      <c r="C58" s="224"/>
      <c r="D58" s="224"/>
      <c r="E58" s="224"/>
      <c r="F58" s="224"/>
      <c r="G58" s="225"/>
      <c r="H58" s="231"/>
      <c r="I58" s="232"/>
      <c r="J58" s="231"/>
      <c r="K58" s="232"/>
    </row>
    <row r="59" spans="1:11" s="263" customFormat="1" ht="15" customHeight="1" hidden="1">
      <c r="A59" s="230"/>
      <c r="B59" s="195" t="s">
        <v>413</v>
      </c>
      <c r="C59" s="216"/>
      <c r="D59" s="234"/>
      <c r="E59" s="216"/>
      <c r="F59" s="234"/>
      <c r="G59" s="216"/>
      <c r="H59" s="235"/>
      <c r="I59" s="241"/>
      <c r="J59" s="235"/>
      <c r="K59" s="241"/>
    </row>
    <row r="60" spans="1:11" ht="15" customHeight="1" hidden="1">
      <c r="A60" s="213"/>
      <c r="B60" s="213"/>
      <c r="C60" s="213"/>
      <c r="D60" s="213"/>
      <c r="E60" s="213"/>
      <c r="F60" s="213"/>
      <c r="G60" s="213"/>
      <c r="H60" s="262"/>
      <c r="I60" s="262"/>
      <c r="J60" s="262"/>
      <c r="K60" s="262"/>
    </row>
    <row r="61" spans="1:11" s="263" customFormat="1" ht="15" customHeight="1" hidden="1">
      <c r="A61" s="230" t="str">
        <f>LEFT($A$38,1)&amp;"."&amp;6</f>
        <v>3.6</v>
      </c>
      <c r="B61" s="230" t="s">
        <v>414</v>
      </c>
      <c r="C61" s="216"/>
      <c r="D61" s="234"/>
      <c r="E61" s="216"/>
      <c r="F61" s="234"/>
      <c r="G61" s="216"/>
      <c r="H61" s="257">
        <f>SUM(H63:H64)</f>
        <v>0</v>
      </c>
      <c r="I61" s="232"/>
      <c r="J61" s="257">
        <f>SUM(J63:J64)</f>
        <v>0</v>
      </c>
      <c r="K61" s="232"/>
    </row>
    <row r="62" spans="1:11" ht="15" customHeight="1" hidden="1">
      <c r="A62" s="213"/>
      <c r="B62" s="213"/>
      <c r="C62" s="213"/>
      <c r="D62" s="213"/>
      <c r="E62" s="213"/>
      <c r="F62" s="213"/>
      <c r="G62" s="213"/>
      <c r="H62" s="262"/>
      <c r="I62" s="262"/>
      <c r="J62" s="262"/>
      <c r="K62" s="262"/>
    </row>
    <row r="63" spans="1:11" s="263" customFormat="1" ht="15" customHeight="1" hidden="1">
      <c r="A63" s="230"/>
      <c r="B63" s="195" t="s">
        <v>415</v>
      </c>
      <c r="C63" s="216"/>
      <c r="D63" s="234"/>
      <c r="E63" s="216"/>
      <c r="F63" s="234"/>
      <c r="G63" s="216"/>
      <c r="H63" s="235"/>
      <c r="I63" s="241"/>
      <c r="J63" s="235"/>
      <c r="K63" s="241"/>
    </row>
    <row r="64" spans="1:11" s="263" customFormat="1" ht="15" customHeight="1" hidden="1">
      <c r="A64" s="230"/>
      <c r="B64" s="195" t="s">
        <v>415</v>
      </c>
      <c r="C64" s="216"/>
      <c r="D64" s="234"/>
      <c r="E64" s="216"/>
      <c r="F64" s="234"/>
      <c r="G64" s="216"/>
      <c r="H64" s="235"/>
      <c r="I64" s="241"/>
      <c r="J64" s="235"/>
      <c r="K64" s="241"/>
    </row>
    <row r="65" spans="1:11" ht="15" customHeight="1" hidden="1">
      <c r="A65" s="213"/>
      <c r="B65" s="213"/>
      <c r="C65" s="213"/>
      <c r="D65" s="213"/>
      <c r="E65" s="213"/>
      <c r="F65" s="213"/>
      <c r="G65" s="213"/>
      <c r="H65" s="262"/>
      <c r="I65" s="262"/>
      <c r="J65" s="262"/>
      <c r="K65" s="262"/>
    </row>
    <row r="66" spans="1:11" s="263" customFormat="1" ht="15" customHeight="1" hidden="1">
      <c r="A66" s="230" t="str">
        <f>LEFT($A$38,1)&amp;"."&amp;7</f>
        <v>3.7</v>
      </c>
      <c r="B66" s="230" t="s">
        <v>416</v>
      </c>
      <c r="C66" s="216"/>
      <c r="D66" s="234"/>
      <c r="E66" s="216"/>
      <c r="F66" s="234"/>
      <c r="G66" s="216"/>
      <c r="H66" s="257">
        <f>SUM(H68:H69)</f>
        <v>0</v>
      </c>
      <c r="I66" s="232"/>
      <c r="J66" s="257">
        <f>SUM(J68:J69)</f>
        <v>0</v>
      </c>
      <c r="K66" s="232"/>
    </row>
    <row r="67" spans="1:11" ht="15" customHeight="1" hidden="1">
      <c r="A67" s="213"/>
      <c r="B67" s="213"/>
      <c r="C67" s="213"/>
      <c r="D67" s="213"/>
      <c r="E67" s="213"/>
      <c r="F67" s="213"/>
      <c r="G67" s="213"/>
      <c r="H67" s="262"/>
      <c r="I67" s="262"/>
      <c r="J67" s="262"/>
      <c r="K67" s="262"/>
    </row>
    <row r="68" spans="1:11" s="263" customFormat="1" ht="15" customHeight="1" hidden="1">
      <c r="A68" s="230"/>
      <c r="B68" s="195" t="s">
        <v>415</v>
      </c>
      <c r="C68" s="216"/>
      <c r="D68" s="234"/>
      <c r="E68" s="216"/>
      <c r="F68" s="234"/>
      <c r="G68" s="216"/>
      <c r="H68" s="235"/>
      <c r="I68" s="241"/>
      <c r="J68" s="235"/>
      <c r="K68" s="241"/>
    </row>
    <row r="69" spans="1:11" s="263" customFormat="1" ht="15" customHeight="1" hidden="1">
      <c r="A69" s="230"/>
      <c r="B69" s="195" t="s">
        <v>415</v>
      </c>
      <c r="C69" s="216"/>
      <c r="D69" s="234"/>
      <c r="E69" s="216"/>
      <c r="F69" s="234"/>
      <c r="G69" s="216"/>
      <c r="H69" s="235"/>
      <c r="I69" s="241"/>
      <c r="J69" s="235"/>
      <c r="K69" s="241"/>
    </row>
    <row r="70" spans="1:11" ht="15" customHeight="1" hidden="1">
      <c r="A70" s="213"/>
      <c r="B70" s="213"/>
      <c r="C70" s="213"/>
      <c r="D70" s="213"/>
      <c r="E70" s="213"/>
      <c r="F70" s="213"/>
      <c r="G70" s="213"/>
      <c r="H70" s="262"/>
      <c r="I70" s="262"/>
      <c r="J70" s="262"/>
      <c r="K70" s="262"/>
    </row>
    <row r="71" spans="1:11" s="263" customFormat="1" ht="15" customHeight="1" hidden="1">
      <c r="A71" s="230" t="str">
        <f>LEFT($A$38,1)&amp;"."&amp;8</f>
        <v>3.8</v>
      </c>
      <c r="B71" s="230" t="s">
        <v>417</v>
      </c>
      <c r="C71" s="216"/>
      <c r="D71" s="234"/>
      <c r="E71" s="216"/>
      <c r="F71" s="234"/>
      <c r="G71" s="216"/>
      <c r="H71" s="257">
        <f>SUM(H73:H74)</f>
        <v>0</v>
      </c>
      <c r="I71" s="232"/>
      <c r="J71" s="257">
        <f>SUM(J73:J74)</f>
        <v>0</v>
      </c>
      <c r="K71" s="232"/>
    </row>
    <row r="72" spans="1:11" ht="15" customHeight="1" hidden="1">
      <c r="A72" s="213"/>
      <c r="B72" s="213"/>
      <c r="C72" s="213"/>
      <c r="D72" s="213"/>
      <c r="E72" s="213"/>
      <c r="F72" s="213"/>
      <c r="G72" s="213"/>
      <c r="H72" s="262"/>
      <c r="I72" s="262"/>
      <c r="J72" s="262"/>
      <c r="K72" s="262"/>
    </row>
    <row r="73" spans="1:11" s="263" customFormat="1" ht="15" customHeight="1" hidden="1">
      <c r="A73" s="230"/>
      <c r="B73" s="195" t="s">
        <v>415</v>
      </c>
      <c r="C73" s="216"/>
      <c r="D73" s="234"/>
      <c r="E73" s="216"/>
      <c r="F73" s="234"/>
      <c r="G73" s="216"/>
      <c r="H73" s="235"/>
      <c r="I73" s="241"/>
      <c r="J73" s="235"/>
      <c r="K73" s="241"/>
    </row>
    <row r="74" spans="1:11" ht="14.25" customHeight="1" hidden="1">
      <c r="A74" s="230"/>
      <c r="B74" s="195" t="s">
        <v>415</v>
      </c>
      <c r="C74" s="216"/>
      <c r="D74" s="234"/>
      <c r="E74" s="216"/>
      <c r="F74" s="234"/>
      <c r="G74" s="216"/>
      <c r="H74" s="235"/>
      <c r="I74" s="241"/>
      <c r="J74" s="235"/>
      <c r="K74" s="241"/>
    </row>
    <row r="75" spans="1:11" ht="14.25">
      <c r="A75" s="224"/>
      <c r="B75" s="224"/>
      <c r="C75" s="224"/>
      <c r="D75" s="224"/>
      <c r="E75" s="224"/>
      <c r="F75" s="224"/>
      <c r="G75" s="225"/>
      <c r="H75" s="231"/>
      <c r="I75" s="232"/>
      <c r="J75" s="231"/>
      <c r="K75" s="232"/>
    </row>
    <row r="76" spans="1:11" s="195" customFormat="1" ht="15.75" thickBot="1">
      <c r="A76" s="214"/>
      <c r="B76" s="215" t="s">
        <v>418</v>
      </c>
      <c r="C76" s="242"/>
      <c r="E76" s="242"/>
      <c r="F76" s="242"/>
      <c r="G76" s="216"/>
      <c r="H76" s="249">
        <f>+H49</f>
        <v>17564710881</v>
      </c>
      <c r="I76" s="250"/>
      <c r="J76" s="249">
        <f>+J49</f>
        <v>13117444146</v>
      </c>
      <c r="K76" s="250"/>
    </row>
    <row r="77" spans="1:11" s="195" customFormat="1" ht="15" thickTop="1">
      <c r="A77" s="224"/>
      <c r="B77" s="224"/>
      <c r="C77" s="224"/>
      <c r="D77" s="224"/>
      <c r="E77" s="224"/>
      <c r="F77" s="224"/>
      <c r="G77" s="225"/>
      <c r="H77" s="226"/>
      <c r="I77" s="227"/>
      <c r="J77" s="226"/>
      <c r="K77" s="227"/>
    </row>
    <row r="78" spans="1:11" s="269" customFormat="1" ht="15">
      <c r="A78" s="264" t="s">
        <v>419</v>
      </c>
      <c r="B78" s="265" t="s">
        <v>420</v>
      </c>
      <c r="C78" s="266"/>
      <c r="D78" s="267"/>
      <c r="E78" s="266"/>
      <c r="F78" s="267"/>
      <c r="G78" s="266"/>
      <c r="H78" s="267"/>
      <c r="I78" s="268"/>
      <c r="J78" s="267"/>
      <c r="K78" s="268"/>
    </row>
    <row r="79" spans="1:11" s="269" customFormat="1" ht="15">
      <c r="A79" s="270"/>
      <c r="B79" s="265"/>
      <c r="C79" s="266"/>
      <c r="D79" s="267"/>
      <c r="E79" s="266"/>
      <c r="F79" s="267"/>
      <c r="G79" s="266"/>
      <c r="H79" s="267"/>
      <c r="I79" s="268"/>
      <c r="J79" s="267"/>
      <c r="K79" s="268"/>
    </row>
    <row r="80" spans="1:11" s="269" customFormat="1" ht="15" customHeight="1">
      <c r="A80" s="568"/>
      <c r="B80" s="569" t="s">
        <v>422</v>
      </c>
      <c r="C80" s="271"/>
      <c r="D80" s="571" t="s">
        <v>423</v>
      </c>
      <c r="E80" s="573"/>
      <c r="F80" s="571" t="s">
        <v>424</v>
      </c>
      <c r="G80" s="573"/>
      <c r="H80" s="571" t="s">
        <v>425</v>
      </c>
      <c r="I80" s="272"/>
      <c r="J80" s="571" t="s">
        <v>398</v>
      </c>
      <c r="K80" s="272"/>
    </row>
    <row r="81" spans="1:11" s="269" customFormat="1" ht="30" customHeight="1">
      <c r="A81" s="568"/>
      <c r="B81" s="570"/>
      <c r="C81" s="274"/>
      <c r="D81" s="572"/>
      <c r="E81" s="574"/>
      <c r="F81" s="572"/>
      <c r="G81" s="574"/>
      <c r="H81" s="572"/>
      <c r="I81" s="272"/>
      <c r="J81" s="572"/>
      <c r="K81" s="272"/>
    </row>
    <row r="82" spans="1:11" s="269" customFormat="1" ht="15">
      <c r="A82" s="270"/>
      <c r="C82" s="266"/>
      <c r="D82" s="234"/>
      <c r="E82" s="266"/>
      <c r="F82" s="276"/>
      <c r="G82" s="266"/>
      <c r="H82" s="277"/>
      <c r="I82" s="268"/>
      <c r="J82" s="277"/>
      <c r="K82" s="268"/>
    </row>
    <row r="83" spans="1:11" s="269" customFormat="1" ht="15">
      <c r="A83" s="270"/>
      <c r="B83" s="270" t="s">
        <v>426</v>
      </c>
      <c r="C83" s="266"/>
      <c r="D83" s="234"/>
      <c r="E83" s="266"/>
      <c r="F83" s="276"/>
      <c r="G83" s="266"/>
      <c r="H83" s="278"/>
      <c r="I83" s="268"/>
      <c r="J83" s="278"/>
      <c r="K83" s="268"/>
    </row>
    <row r="84" spans="2:11" s="269" customFormat="1" ht="15">
      <c r="B84" s="270" t="s">
        <v>727</v>
      </c>
      <c r="C84" s="279"/>
      <c r="D84" s="235">
        <v>252165785</v>
      </c>
      <c r="E84" s="280"/>
      <c r="F84" s="235">
        <v>631823637</v>
      </c>
      <c r="G84" s="280"/>
      <c r="H84" s="235">
        <v>467096093</v>
      </c>
      <c r="I84" s="281"/>
      <c r="J84" s="235">
        <v>1351085515</v>
      </c>
      <c r="K84" s="281"/>
    </row>
    <row r="85" spans="2:11" s="269" customFormat="1" ht="14.25">
      <c r="B85" s="269" t="s">
        <v>427</v>
      </c>
      <c r="C85" s="266"/>
      <c r="D85" s="235">
        <f>11097706+842354000+204565000</f>
        <v>1058016706</v>
      </c>
      <c r="E85" s="280"/>
      <c r="F85" s="235"/>
      <c r="G85" s="280"/>
      <c r="H85" s="235">
        <v>11002727</v>
      </c>
      <c r="I85" s="282"/>
      <c r="J85" s="235">
        <f>D85+F85+H85</f>
        <v>1069019433</v>
      </c>
      <c r="K85" s="282"/>
    </row>
    <row r="86" spans="2:11" s="269" customFormat="1" ht="15" customHeight="1" hidden="1">
      <c r="B86" s="269" t="s">
        <v>428</v>
      </c>
      <c r="C86" s="266"/>
      <c r="D86" s="235"/>
      <c r="E86" s="280"/>
      <c r="F86" s="235"/>
      <c r="G86" s="280"/>
      <c r="H86" s="235"/>
      <c r="I86" s="282"/>
      <c r="J86" s="235" t="e">
        <f>'[2]Thuyet minh'!M181</f>
        <v>#REF!</v>
      </c>
      <c r="K86" s="282"/>
    </row>
    <row r="87" spans="2:11" s="269" customFormat="1" ht="14.25">
      <c r="B87" s="269" t="s">
        <v>428</v>
      </c>
      <c r="C87" s="266"/>
      <c r="D87" s="235"/>
      <c r="E87" s="280"/>
      <c r="F87" s="235"/>
      <c r="G87" s="280"/>
      <c r="H87" s="235"/>
      <c r="I87" s="282"/>
      <c r="J87" s="235">
        <f>D87+F87+H87</f>
        <v>0</v>
      </c>
      <c r="K87" s="282"/>
    </row>
    <row r="88" spans="2:11" s="269" customFormat="1" ht="15">
      <c r="B88" s="270" t="s">
        <v>728</v>
      </c>
      <c r="C88" s="266"/>
      <c r="D88" s="235">
        <f>+D84+D85-D87</f>
        <v>1310182491</v>
      </c>
      <c r="E88" s="280"/>
      <c r="F88" s="235">
        <f>+F84+F85-F87</f>
        <v>631823637</v>
      </c>
      <c r="G88" s="235">
        <f>+G84+G85-G87</f>
        <v>0</v>
      </c>
      <c r="H88" s="235">
        <f>+H84+H85-H87</f>
        <v>478098820</v>
      </c>
      <c r="I88" s="235">
        <f>+I84+I85-I87</f>
        <v>0</v>
      </c>
      <c r="J88" s="235">
        <v>2420104948</v>
      </c>
      <c r="K88" s="235">
        <f>+K84+K85-K87</f>
        <v>0</v>
      </c>
    </row>
    <row r="89" spans="3:11" s="269" customFormat="1" ht="14.25">
      <c r="C89" s="266"/>
      <c r="D89" s="283"/>
      <c r="E89" s="283"/>
      <c r="F89" s="283"/>
      <c r="G89" s="283"/>
      <c r="H89" s="283"/>
      <c r="I89" s="283"/>
      <c r="J89" s="283"/>
      <c r="K89" s="283"/>
    </row>
    <row r="90" spans="2:11" s="269" customFormat="1" ht="15">
      <c r="B90" s="270" t="s">
        <v>429</v>
      </c>
      <c r="C90" s="266"/>
      <c r="D90" s="235"/>
      <c r="E90" s="280"/>
      <c r="F90" s="284"/>
      <c r="G90" s="280"/>
      <c r="H90" s="285"/>
      <c r="I90" s="282"/>
      <c r="J90" s="285"/>
      <c r="K90" s="282"/>
    </row>
    <row r="91" spans="2:11" s="269" customFormat="1" ht="15">
      <c r="B91" s="270" t="s">
        <v>727</v>
      </c>
      <c r="C91" s="266"/>
      <c r="D91" s="235">
        <v>63226964</v>
      </c>
      <c r="E91" s="280"/>
      <c r="F91" s="235">
        <v>234543686</v>
      </c>
      <c r="G91" s="280"/>
      <c r="H91" s="235">
        <v>51415120</v>
      </c>
      <c r="I91" s="282"/>
      <c r="J91" s="235">
        <f>D91+F91+H91</f>
        <v>349185770</v>
      </c>
      <c r="K91" s="282"/>
    </row>
    <row r="92" spans="2:11" s="269" customFormat="1" ht="14.25">
      <c r="B92" s="269" t="s">
        <v>430</v>
      </c>
      <c r="C92" s="266"/>
      <c r="D92" s="235">
        <f>82161257+13090914-10909095</f>
        <v>84343076</v>
      </c>
      <c r="E92" s="280"/>
      <c r="F92" s="235">
        <v>39488940</v>
      </c>
      <c r="G92" s="280"/>
      <c r="H92" s="235"/>
      <c r="I92" s="282"/>
      <c r="J92" s="235">
        <f>D92+F92+H92</f>
        <v>123832016</v>
      </c>
      <c r="K92" s="282"/>
    </row>
    <row r="93" spans="2:11" s="269" customFormat="1" ht="14.25">
      <c r="B93" s="269" t="s">
        <v>431</v>
      </c>
      <c r="C93" s="266"/>
      <c r="D93" s="235">
        <v>0</v>
      </c>
      <c r="E93" s="280"/>
      <c r="F93" s="235">
        <v>0</v>
      </c>
      <c r="G93" s="280"/>
      <c r="H93" s="235"/>
      <c r="I93" s="282"/>
      <c r="J93" s="235">
        <f>D93+F93+H93</f>
        <v>0</v>
      </c>
      <c r="K93" s="282"/>
    </row>
    <row r="94" spans="2:11" s="269" customFormat="1" ht="15">
      <c r="B94" s="270" t="s">
        <v>728</v>
      </c>
      <c r="C94" s="266"/>
      <c r="D94" s="285">
        <f>+D91+D92-D93</f>
        <v>147570040</v>
      </c>
      <c r="E94" s="280"/>
      <c r="F94" s="286">
        <f>+F91+F92-F93</f>
        <v>274032626</v>
      </c>
      <c r="G94" s="285">
        <f>+G91+G92-G93</f>
        <v>0</v>
      </c>
      <c r="H94" s="285">
        <f>+H91+H92-H93</f>
        <v>51415120</v>
      </c>
      <c r="I94" s="285">
        <f>+I91+I92-I93</f>
        <v>0</v>
      </c>
      <c r="J94" s="235">
        <f>D94+F94+H94</f>
        <v>473017786</v>
      </c>
      <c r="K94" s="285">
        <f>+K91+K92-K93</f>
        <v>0</v>
      </c>
    </row>
    <row r="95" spans="3:11" s="269" customFormat="1" ht="14.25">
      <c r="C95" s="266"/>
      <c r="D95" s="235"/>
      <c r="E95" s="280"/>
      <c r="F95" s="235"/>
      <c r="G95" s="280"/>
      <c r="H95" s="235"/>
      <c r="I95" s="282"/>
      <c r="J95" s="235"/>
      <c r="K95" s="282"/>
    </row>
    <row r="96" spans="2:11" s="269" customFormat="1" ht="15">
      <c r="B96" s="270" t="s">
        <v>432</v>
      </c>
      <c r="C96" s="266"/>
      <c r="D96" s="235"/>
      <c r="E96" s="280"/>
      <c r="F96" s="235"/>
      <c r="G96" s="280"/>
      <c r="H96" s="235"/>
      <c r="I96" s="282"/>
      <c r="J96" s="235"/>
      <c r="K96" s="282"/>
    </row>
    <row r="97" spans="2:11" s="269" customFormat="1" ht="15">
      <c r="B97" s="270" t="s">
        <v>727</v>
      </c>
      <c r="C97" s="266"/>
      <c r="D97" s="235">
        <f>D84-D91</f>
        <v>188938821</v>
      </c>
      <c r="E97" s="280"/>
      <c r="F97" s="235">
        <f>F84-F91</f>
        <v>397279951</v>
      </c>
      <c r="G97" s="280"/>
      <c r="H97" s="235">
        <f>H84-H91</f>
        <v>415680973</v>
      </c>
      <c r="I97" s="281"/>
      <c r="J97" s="235">
        <f>D97+F97+H97</f>
        <v>1001899745</v>
      </c>
      <c r="K97" s="281"/>
    </row>
    <row r="98" spans="2:11" s="269" customFormat="1" ht="15">
      <c r="B98" s="270" t="s">
        <v>728</v>
      </c>
      <c r="C98" s="266"/>
      <c r="D98" s="235">
        <f>D88-D94</f>
        <v>1162612451</v>
      </c>
      <c r="E98" s="280"/>
      <c r="F98" s="235">
        <f>F88-F94</f>
        <v>357791011</v>
      </c>
      <c r="G98" s="280"/>
      <c r="H98" s="235">
        <f>H88-H94</f>
        <v>426683700</v>
      </c>
      <c r="I98" s="287"/>
      <c r="J98" s="235">
        <f>D98+F98+H98</f>
        <v>1947087162</v>
      </c>
      <c r="K98" s="287"/>
    </row>
    <row r="99" spans="1:11" s="269" customFormat="1" ht="14.25">
      <c r="A99" s="288"/>
      <c r="B99" s="289"/>
      <c r="C99" s="290"/>
      <c r="D99" s="236"/>
      <c r="E99" s="291"/>
      <c r="F99" s="236"/>
      <c r="G99" s="291"/>
      <c r="H99" s="236"/>
      <c r="I99" s="292"/>
      <c r="J99" s="236"/>
      <c r="K99" s="292"/>
    </row>
    <row r="100" s="288" customFormat="1" ht="14.25"/>
    <row r="101" s="288" customFormat="1" ht="14.25"/>
    <row r="102" spans="7:11" s="288" customFormat="1" ht="14.25">
      <c r="G102" s="266"/>
      <c r="H102" s="267"/>
      <c r="I102" s="268"/>
      <c r="J102" s="267"/>
      <c r="K102" s="268"/>
    </row>
    <row r="103" spans="5:11" s="288" customFormat="1" ht="14.25">
      <c r="E103" s="266"/>
      <c r="F103" s="267"/>
      <c r="G103" s="266"/>
      <c r="H103" s="267"/>
      <c r="I103" s="268"/>
      <c r="J103" s="267"/>
      <c r="K103" s="268"/>
    </row>
    <row r="104" spans="1:11" s="288" customFormat="1" ht="15">
      <c r="A104" s="270" t="str">
        <f>LEFT(A78,1)+1&amp;"."</f>
        <v>5.</v>
      </c>
      <c r="B104" s="265" t="s">
        <v>664</v>
      </c>
      <c r="C104" s="266"/>
      <c r="D104" s="267"/>
      <c r="E104" s="266"/>
      <c r="F104" s="267"/>
      <c r="G104" s="266"/>
      <c r="H104" s="267"/>
      <c r="I104" s="268"/>
      <c r="J104" s="267"/>
      <c r="K104" s="268"/>
    </row>
    <row r="105" spans="1:11" s="288" customFormat="1" ht="15">
      <c r="A105" s="270"/>
      <c r="B105" s="265"/>
      <c r="C105" s="266"/>
      <c r="D105" s="267"/>
      <c r="E105" s="266"/>
      <c r="F105" s="267"/>
      <c r="G105" s="266"/>
      <c r="H105" s="267"/>
      <c r="I105" s="268"/>
      <c r="J105" s="267"/>
      <c r="K105" s="268"/>
    </row>
    <row r="106" spans="1:11" s="288" customFormat="1" ht="15" customHeight="1">
      <c r="A106" s="568"/>
      <c r="B106" s="569" t="s">
        <v>422</v>
      </c>
      <c r="C106" s="569"/>
      <c r="D106" s="569"/>
      <c r="E106" s="272"/>
      <c r="F106" s="573" t="s">
        <v>433</v>
      </c>
      <c r="G106" s="272"/>
      <c r="H106" s="573" t="s">
        <v>434</v>
      </c>
      <c r="I106" s="272"/>
      <c r="J106" s="573" t="s">
        <v>434</v>
      </c>
      <c r="K106" s="272"/>
    </row>
    <row r="107" spans="1:11" s="288" customFormat="1" ht="15">
      <c r="A107" s="568"/>
      <c r="B107" s="570"/>
      <c r="C107" s="570"/>
      <c r="D107" s="570"/>
      <c r="E107" s="293"/>
      <c r="F107" s="574"/>
      <c r="G107" s="293"/>
      <c r="H107" s="574"/>
      <c r="I107" s="293"/>
      <c r="J107" s="574"/>
      <c r="K107" s="293"/>
    </row>
    <row r="108" spans="1:11" s="288" customFormat="1" ht="15">
      <c r="A108" s="270"/>
      <c r="B108" s="269"/>
      <c r="C108" s="266"/>
      <c r="D108" s="267"/>
      <c r="E108" s="266"/>
      <c r="F108" s="267"/>
      <c r="G108" s="266"/>
      <c r="H108" s="267"/>
      <c r="I108" s="268"/>
      <c r="J108" s="267"/>
      <c r="K108" s="268"/>
    </row>
    <row r="109" spans="1:11" s="288" customFormat="1" ht="15">
      <c r="A109" s="270"/>
      <c r="B109" s="270" t="s">
        <v>426</v>
      </c>
      <c r="C109" s="266"/>
      <c r="D109" s="267"/>
      <c r="E109" s="266"/>
      <c r="F109" s="267"/>
      <c r="G109" s="266"/>
      <c r="H109" s="267"/>
      <c r="I109" s="268"/>
      <c r="J109" s="267"/>
      <c r="K109" s="268"/>
    </row>
    <row r="110" spans="1:11" s="289" customFormat="1" ht="15">
      <c r="A110" s="294"/>
      <c r="B110" s="270" t="s">
        <v>729</v>
      </c>
      <c r="C110" s="295"/>
      <c r="D110" s="296"/>
      <c r="E110" s="295"/>
      <c r="F110" s="297">
        <v>0</v>
      </c>
      <c r="G110" s="280"/>
      <c r="H110" s="282">
        <v>130909127</v>
      </c>
      <c r="I110" s="287"/>
      <c r="J110" s="282">
        <f>H110</f>
        <v>130909127</v>
      </c>
      <c r="K110" s="287"/>
    </row>
    <row r="111" spans="1:11" s="302" customFormat="1" ht="15" customHeight="1" hidden="1">
      <c r="A111" s="294"/>
      <c r="B111" s="269" t="s">
        <v>435</v>
      </c>
      <c r="C111" s="298"/>
      <c r="D111" s="299"/>
      <c r="E111" s="298"/>
      <c r="F111" s="300">
        <v>0</v>
      </c>
      <c r="G111" s="280"/>
      <c r="H111" s="297">
        <v>0</v>
      </c>
      <c r="I111" s="301"/>
      <c r="J111" s="297">
        <v>0</v>
      </c>
      <c r="K111" s="301"/>
    </row>
    <row r="112" spans="1:11" s="302" customFormat="1" ht="15" customHeight="1" hidden="1">
      <c r="A112" s="294"/>
      <c r="B112" s="269" t="s">
        <v>436</v>
      </c>
      <c r="C112" s="298"/>
      <c r="D112" s="299"/>
      <c r="E112" s="298"/>
      <c r="F112" s="297">
        <v>0</v>
      </c>
      <c r="G112" s="280"/>
      <c r="H112" s="297">
        <v>0</v>
      </c>
      <c r="I112" s="301"/>
      <c r="J112" s="297">
        <v>0</v>
      </c>
      <c r="K112" s="301"/>
    </row>
    <row r="113" spans="1:11" s="302" customFormat="1" ht="15" customHeight="1" hidden="1">
      <c r="A113" s="294"/>
      <c r="B113" s="269" t="s">
        <v>437</v>
      </c>
      <c r="C113" s="298"/>
      <c r="D113" s="299"/>
      <c r="E113" s="298"/>
      <c r="F113" s="300">
        <v>0</v>
      </c>
      <c r="G113" s="280"/>
      <c r="H113" s="297">
        <v>0</v>
      </c>
      <c r="I113" s="301"/>
      <c r="J113" s="297">
        <v>0</v>
      </c>
      <c r="K113" s="301"/>
    </row>
    <row r="114" spans="1:11" s="302" customFormat="1" ht="15" customHeight="1" hidden="1">
      <c r="A114" s="294"/>
      <c r="B114" s="269" t="s">
        <v>438</v>
      </c>
      <c r="C114" s="298"/>
      <c r="D114" s="299"/>
      <c r="E114" s="298"/>
      <c r="F114" s="297">
        <v>0</v>
      </c>
      <c r="G114" s="280"/>
      <c r="H114" s="297">
        <v>0</v>
      </c>
      <c r="I114" s="301"/>
      <c r="J114" s="297">
        <v>0</v>
      </c>
      <c r="K114" s="301"/>
    </row>
    <row r="115" spans="1:11" s="302" customFormat="1" ht="15" customHeight="1" hidden="1">
      <c r="A115" s="294"/>
      <c r="B115" s="269" t="s">
        <v>439</v>
      </c>
      <c r="C115" s="298"/>
      <c r="D115" s="299"/>
      <c r="E115" s="298"/>
      <c r="F115" s="297">
        <v>0</v>
      </c>
      <c r="G115" s="280"/>
      <c r="H115" s="297">
        <v>0</v>
      </c>
      <c r="I115" s="301"/>
      <c r="J115" s="297">
        <v>0</v>
      </c>
      <c r="K115" s="301"/>
    </row>
    <row r="116" spans="1:11" s="302" customFormat="1" ht="15" customHeight="1" hidden="1">
      <c r="A116" s="294"/>
      <c r="B116" s="269" t="s">
        <v>431</v>
      </c>
      <c r="C116" s="298"/>
      <c r="D116" s="299"/>
      <c r="E116" s="298"/>
      <c r="F116" s="297">
        <v>0</v>
      </c>
      <c r="G116" s="280"/>
      <c r="H116" s="297">
        <v>0</v>
      </c>
      <c r="I116" s="301"/>
      <c r="J116" s="297">
        <v>0</v>
      </c>
      <c r="K116" s="301"/>
    </row>
    <row r="117" spans="1:11" s="289" customFormat="1" ht="15">
      <c r="A117" s="294"/>
      <c r="B117" s="270" t="s">
        <v>730</v>
      </c>
      <c r="C117" s="295"/>
      <c r="D117" s="296"/>
      <c r="E117" s="295"/>
      <c r="F117" s="297">
        <f>SUM(F110:F116)</f>
        <v>0</v>
      </c>
      <c r="G117" s="280"/>
      <c r="H117" s="297">
        <f>SUM(H110:H116)</f>
        <v>130909127</v>
      </c>
      <c r="I117" s="287"/>
      <c r="J117" s="297">
        <f>SUM(J110:J116)</f>
        <v>130909127</v>
      </c>
      <c r="K117" s="287"/>
    </row>
    <row r="118" spans="1:11" s="288" customFormat="1" ht="9" customHeight="1">
      <c r="A118" s="270"/>
      <c r="B118" s="269"/>
      <c r="C118" s="266"/>
      <c r="D118" s="267"/>
      <c r="E118" s="266"/>
      <c r="F118" s="297"/>
      <c r="G118" s="280"/>
      <c r="H118" s="297"/>
      <c r="I118" s="282"/>
      <c r="J118" s="297"/>
      <c r="K118" s="282"/>
    </row>
    <row r="119" spans="1:11" s="288" customFormat="1" ht="15">
      <c r="A119" s="270"/>
      <c r="B119" s="270" t="s">
        <v>429</v>
      </c>
      <c r="C119" s="266"/>
      <c r="D119" s="267"/>
      <c r="E119" s="266"/>
      <c r="F119" s="297"/>
      <c r="G119" s="280"/>
      <c r="H119" s="297"/>
      <c r="I119" s="282"/>
      <c r="J119" s="297"/>
      <c r="K119" s="282"/>
    </row>
    <row r="120" spans="1:11" s="289" customFormat="1" ht="15">
      <c r="A120" s="294"/>
      <c r="B120" s="270" t="s">
        <v>729</v>
      </c>
      <c r="C120" s="295"/>
      <c r="D120" s="296"/>
      <c r="E120" s="295"/>
      <c r="F120" s="297">
        <v>0</v>
      </c>
      <c r="G120" s="280"/>
      <c r="H120" s="297">
        <v>69818208</v>
      </c>
      <c r="I120" s="287"/>
      <c r="J120" s="297">
        <f>H120</f>
        <v>69818208</v>
      </c>
      <c r="K120" s="287"/>
    </row>
    <row r="121" spans="1:11" s="302" customFormat="1" ht="15">
      <c r="A121" s="294"/>
      <c r="B121" s="269" t="s">
        <v>747</v>
      </c>
      <c r="C121" s="298"/>
      <c r="D121" s="299"/>
      <c r="E121" s="298"/>
      <c r="F121" s="300">
        <v>0</v>
      </c>
      <c r="G121" s="280"/>
      <c r="H121" s="300">
        <v>10909095</v>
      </c>
      <c r="I121" s="301"/>
      <c r="J121" s="300">
        <f>H121</f>
        <v>10909095</v>
      </c>
      <c r="K121" s="301"/>
    </row>
    <row r="122" spans="1:11" s="302" customFormat="1" ht="15" customHeight="1" hidden="1">
      <c r="A122" s="294"/>
      <c r="B122" s="269" t="s">
        <v>438</v>
      </c>
      <c r="C122" s="298"/>
      <c r="D122" s="299"/>
      <c r="E122" s="298"/>
      <c r="F122" s="300">
        <v>0</v>
      </c>
      <c r="G122" s="280"/>
      <c r="H122" s="300">
        <v>0</v>
      </c>
      <c r="I122" s="301"/>
      <c r="J122" s="300">
        <v>0</v>
      </c>
      <c r="K122" s="301"/>
    </row>
    <row r="123" spans="1:11" s="302" customFormat="1" ht="15" customHeight="1" hidden="1">
      <c r="A123" s="294"/>
      <c r="B123" s="269" t="s">
        <v>439</v>
      </c>
      <c r="C123" s="298"/>
      <c r="D123" s="299"/>
      <c r="E123" s="298"/>
      <c r="F123" s="300">
        <v>0</v>
      </c>
      <c r="G123" s="280"/>
      <c r="H123" s="300">
        <v>0</v>
      </c>
      <c r="I123" s="301"/>
      <c r="J123" s="300">
        <v>0</v>
      </c>
      <c r="K123" s="301"/>
    </row>
    <row r="124" spans="1:11" s="289" customFormat="1" ht="15">
      <c r="A124" s="294"/>
      <c r="B124" s="270" t="s">
        <v>730</v>
      </c>
      <c r="C124" s="295"/>
      <c r="D124" s="296"/>
      <c r="E124" s="295"/>
      <c r="F124" s="297">
        <f>SUM(F120:F123)</f>
        <v>0</v>
      </c>
      <c r="G124" s="280"/>
      <c r="H124" s="297">
        <f>SUM(H120:H123)</f>
        <v>80727303</v>
      </c>
      <c r="I124" s="287"/>
      <c r="J124" s="297">
        <f>SUM(J120:J123)</f>
        <v>80727303</v>
      </c>
      <c r="K124" s="287"/>
    </row>
    <row r="125" spans="1:11" s="288" customFormat="1" ht="9" customHeight="1">
      <c r="A125" s="270"/>
      <c r="B125" s="269"/>
      <c r="C125" s="266"/>
      <c r="D125" s="267"/>
      <c r="E125" s="266"/>
      <c r="F125" s="297"/>
      <c r="G125" s="280"/>
      <c r="H125" s="297"/>
      <c r="I125" s="282"/>
      <c r="J125" s="297"/>
      <c r="K125" s="282"/>
    </row>
    <row r="126" spans="1:11" s="288" customFormat="1" ht="15">
      <c r="A126" s="270"/>
      <c r="B126" s="270" t="s">
        <v>432</v>
      </c>
      <c r="C126" s="266"/>
      <c r="D126" s="267"/>
      <c r="E126" s="266"/>
      <c r="F126" s="297"/>
      <c r="G126" s="280"/>
      <c r="H126" s="297"/>
      <c r="I126" s="282"/>
      <c r="J126" s="297"/>
      <c r="K126" s="282"/>
    </row>
    <row r="127" spans="1:11" s="289" customFormat="1" ht="15">
      <c r="A127" s="294"/>
      <c r="B127" s="270" t="s">
        <v>731</v>
      </c>
      <c r="C127" s="295"/>
      <c r="D127" s="296"/>
      <c r="E127" s="295"/>
      <c r="F127" s="297">
        <f>F110-F120</f>
        <v>0</v>
      </c>
      <c r="G127" s="280"/>
      <c r="H127" s="297">
        <f>H110-H120</f>
        <v>61090919</v>
      </c>
      <c r="I127" s="287"/>
      <c r="J127" s="297">
        <f>J110-J120</f>
        <v>61090919</v>
      </c>
      <c r="K127" s="287"/>
    </row>
    <row r="128" spans="1:11" s="289" customFormat="1" ht="15">
      <c r="A128" s="294"/>
      <c r="B128" s="270" t="s">
        <v>732</v>
      </c>
      <c r="C128" s="295"/>
      <c r="D128" s="296"/>
      <c r="E128" s="295"/>
      <c r="F128" s="297">
        <f>F117-F124</f>
        <v>0</v>
      </c>
      <c r="G128" s="280"/>
      <c r="H128" s="297">
        <f>H117-H124</f>
        <v>50181824</v>
      </c>
      <c r="I128" s="287"/>
      <c r="J128" s="297">
        <f>J117-J124</f>
        <v>50181824</v>
      </c>
      <c r="K128" s="287"/>
    </row>
    <row r="129" spans="1:11" s="289" customFormat="1" ht="15">
      <c r="A129" s="270">
        <v>6</v>
      </c>
      <c r="B129" s="270" t="s">
        <v>440</v>
      </c>
      <c r="C129" s="295"/>
      <c r="D129" s="296"/>
      <c r="E129" s="295"/>
      <c r="F129" s="297"/>
      <c r="G129" s="280"/>
      <c r="H129" s="254">
        <v>39447</v>
      </c>
      <c r="I129" s="219"/>
      <c r="J129" s="254">
        <v>39356</v>
      </c>
      <c r="K129" s="219"/>
    </row>
    <row r="130" spans="1:11" s="289" customFormat="1" ht="15">
      <c r="A130" s="294"/>
      <c r="C130" s="295"/>
      <c r="D130" s="296"/>
      <c r="E130" s="295"/>
      <c r="F130" s="297"/>
      <c r="G130" s="280"/>
      <c r="H130" s="222" t="s">
        <v>389</v>
      </c>
      <c r="I130" s="221"/>
      <c r="J130" s="222" t="s">
        <v>389</v>
      </c>
      <c r="K130" s="221"/>
    </row>
    <row r="131" spans="1:11" s="289" customFormat="1" ht="14.25">
      <c r="A131" s="294"/>
      <c r="B131" s="269" t="s">
        <v>440</v>
      </c>
      <c r="C131" s="295"/>
      <c r="D131" s="296"/>
      <c r="E131" s="295"/>
      <c r="F131" s="297"/>
      <c r="G131" s="280"/>
      <c r="H131" s="297">
        <v>342759475</v>
      </c>
      <c r="I131" s="287"/>
      <c r="J131" s="297">
        <v>522567596</v>
      </c>
      <c r="K131" s="287"/>
    </row>
    <row r="132" spans="1:11" s="289" customFormat="1" ht="15">
      <c r="A132" s="294"/>
      <c r="B132" s="270"/>
      <c r="C132" s="295"/>
      <c r="D132" s="296"/>
      <c r="E132" s="295"/>
      <c r="F132" s="297"/>
      <c r="G132" s="280"/>
      <c r="H132" s="297"/>
      <c r="I132" s="287"/>
      <c r="J132" s="297"/>
      <c r="K132" s="287"/>
    </row>
    <row r="133" spans="1:11" s="289" customFormat="1" ht="15.75" thickBot="1">
      <c r="A133" s="294"/>
      <c r="B133" s="270" t="s">
        <v>398</v>
      </c>
      <c r="C133" s="295"/>
      <c r="D133" s="296"/>
      <c r="E133" s="295"/>
      <c r="F133" s="297"/>
      <c r="G133" s="280"/>
      <c r="H133" s="249">
        <f>+H131</f>
        <v>342759475</v>
      </c>
      <c r="I133" s="250"/>
      <c r="J133" s="249">
        <f>+J131</f>
        <v>522567596</v>
      </c>
      <c r="K133" s="250"/>
    </row>
    <row r="134" spans="1:11" s="195" customFormat="1" ht="15.75" customHeight="1" hidden="1">
      <c r="A134" s="270" t="str">
        <f>LEFT(A104,1)+1&amp;"."</f>
        <v>6.</v>
      </c>
      <c r="B134" s="215" t="s">
        <v>440</v>
      </c>
      <c r="C134" s="216"/>
      <c r="D134" s="234"/>
      <c r="E134" s="216"/>
      <c r="F134" s="234"/>
      <c r="G134" s="216"/>
      <c r="H134" s="221" t="str">
        <f>H$11</f>
        <v>31/12/2006</v>
      </c>
      <c r="I134" s="303"/>
      <c r="J134" s="221" t="str">
        <f>J$11</f>
        <v>01/01/2006</v>
      </c>
      <c r="K134" s="303"/>
    </row>
    <row r="135" spans="1:11" s="195" customFormat="1" ht="15.75" customHeight="1" hidden="1">
      <c r="A135" s="242"/>
      <c r="B135" s="242"/>
      <c r="C135" s="242"/>
      <c r="D135" s="242"/>
      <c r="E135" s="242"/>
      <c r="F135" s="242"/>
      <c r="G135" s="216"/>
      <c r="H135" s="222" t="s">
        <v>389</v>
      </c>
      <c r="I135" s="303"/>
      <c r="J135" s="222" t="s">
        <v>389</v>
      </c>
      <c r="K135" s="303"/>
    </row>
    <row r="136" spans="1:11" s="195" customFormat="1" ht="15" customHeight="1" hidden="1">
      <c r="A136" s="242"/>
      <c r="B136" s="242"/>
      <c r="C136" s="242"/>
      <c r="D136" s="242"/>
      <c r="E136" s="242"/>
      <c r="F136" s="242"/>
      <c r="G136" s="216"/>
      <c r="H136" s="276"/>
      <c r="I136" s="303"/>
      <c r="J136" s="276"/>
      <c r="K136" s="303"/>
    </row>
    <row r="137" spans="1:11" s="195" customFormat="1" ht="15.75" customHeight="1" hidden="1">
      <c r="A137" s="214"/>
      <c r="C137" s="242"/>
      <c r="D137" s="242"/>
      <c r="E137" s="242"/>
      <c r="F137" s="242"/>
      <c r="G137" s="216"/>
      <c r="H137" s="234"/>
      <c r="I137" s="303"/>
      <c r="J137" s="234"/>
      <c r="K137" s="303"/>
    </row>
    <row r="138" spans="1:11" s="195" customFormat="1" ht="15.75" customHeight="1" hidden="1">
      <c r="A138" s="214"/>
      <c r="C138" s="242"/>
      <c r="D138" s="242"/>
      <c r="E138" s="242"/>
      <c r="F138" s="242"/>
      <c r="G138" s="216"/>
      <c r="H138" s="234"/>
      <c r="I138" s="303"/>
      <c r="J138" s="234"/>
      <c r="K138" s="303"/>
    </row>
    <row r="139" spans="1:11" s="195" customFormat="1" ht="16.5" customHeight="1" hidden="1">
      <c r="A139" s="214"/>
      <c r="B139" s="215" t="s">
        <v>398</v>
      </c>
      <c r="C139" s="248"/>
      <c r="D139" s="221"/>
      <c r="E139" s="248"/>
      <c r="F139" s="221"/>
      <c r="G139" s="248"/>
      <c r="H139" s="304">
        <f>SUM(H137:H138)</f>
        <v>0</v>
      </c>
      <c r="I139" s="305"/>
      <c r="J139" s="304">
        <f>SUM(J137:J138)</f>
        <v>0</v>
      </c>
      <c r="K139" s="305"/>
    </row>
    <row r="140" spans="2:11" ht="15.75" customHeight="1" hidden="1">
      <c r="B140" s="306"/>
      <c r="C140" s="306"/>
      <c r="D140" s="306"/>
      <c r="E140" s="306"/>
      <c r="F140" s="306"/>
      <c r="G140" s="306"/>
      <c r="H140" s="306"/>
      <c r="I140" s="306"/>
      <c r="J140" s="306"/>
      <c r="K140" s="306"/>
    </row>
    <row r="141" spans="1:11" s="195" customFormat="1" ht="15.75" thickTop="1">
      <c r="A141" s="214">
        <v>7</v>
      </c>
      <c r="B141" s="215" t="s">
        <v>441</v>
      </c>
      <c r="C141" s="303"/>
      <c r="D141" s="217"/>
      <c r="E141" s="303"/>
      <c r="F141" s="305"/>
      <c r="G141" s="216"/>
      <c r="H141" s="254">
        <v>39447</v>
      </c>
      <c r="I141" s="219"/>
      <c r="J141" s="254">
        <v>39356</v>
      </c>
      <c r="K141" s="219"/>
    </row>
    <row r="142" spans="1:11" s="195" customFormat="1" ht="15">
      <c r="A142" s="307"/>
      <c r="B142" s="277"/>
      <c r="C142" s="303"/>
      <c r="D142" s="221"/>
      <c r="E142" s="303"/>
      <c r="F142" s="305"/>
      <c r="G142" s="216"/>
      <c r="H142" s="222" t="s">
        <v>389</v>
      </c>
      <c r="I142" s="221"/>
      <c r="J142" s="222" t="s">
        <v>389</v>
      </c>
      <c r="K142" s="221"/>
    </row>
    <row r="143" spans="1:11" s="195" customFormat="1" ht="14.25">
      <c r="A143" s="224"/>
      <c r="B143" s="224"/>
      <c r="C143" s="224"/>
      <c r="D143" s="224"/>
      <c r="E143" s="224"/>
      <c r="F143" s="224"/>
      <c r="G143" s="225"/>
      <c r="H143" s="226"/>
      <c r="I143" s="227"/>
      <c r="J143" s="226"/>
      <c r="K143" s="227"/>
    </row>
    <row r="144" spans="1:11" s="195" customFormat="1" ht="15">
      <c r="A144" s="307"/>
      <c r="B144" s="215"/>
      <c r="C144" s="305"/>
      <c r="D144" s="221"/>
      <c r="E144" s="305"/>
      <c r="F144" s="221"/>
      <c r="G144" s="248"/>
      <c r="H144" s="308"/>
      <c r="I144" s="250"/>
      <c r="J144" s="308"/>
      <c r="K144" s="250"/>
    </row>
    <row r="145" spans="1:11" s="195" customFormat="1" ht="15">
      <c r="A145" s="307"/>
      <c r="B145" s="215"/>
      <c r="C145" s="305"/>
      <c r="D145" s="221"/>
      <c r="E145" s="305"/>
      <c r="F145" s="221"/>
      <c r="G145" s="248"/>
      <c r="H145" s="308"/>
      <c r="I145" s="250"/>
      <c r="J145" s="308"/>
      <c r="K145" s="250"/>
    </row>
    <row r="146" spans="1:11" s="195" customFormat="1" ht="15">
      <c r="A146" s="307"/>
      <c r="B146" s="215"/>
      <c r="C146" s="305"/>
      <c r="D146" s="221"/>
      <c r="E146" s="305"/>
      <c r="F146" s="221"/>
      <c r="G146" s="248"/>
      <c r="H146" s="308"/>
      <c r="I146" s="250"/>
      <c r="J146" s="308"/>
      <c r="K146" s="250"/>
    </row>
    <row r="147" spans="1:11" s="195" customFormat="1" ht="15">
      <c r="A147" s="307"/>
      <c r="B147" s="215"/>
      <c r="C147" s="305"/>
      <c r="D147" s="221"/>
      <c r="E147" s="305"/>
      <c r="F147" s="221"/>
      <c r="G147" s="248"/>
      <c r="H147" s="308"/>
      <c r="I147" s="250"/>
      <c r="J147" s="308"/>
      <c r="K147" s="250"/>
    </row>
    <row r="148" s="195" customFormat="1" ht="14.25"/>
    <row r="149" s="195" customFormat="1" ht="14.25"/>
    <row r="150" spans="1:11" s="195" customFormat="1" ht="15">
      <c r="A150" s="214" t="str">
        <f>LEFT(A141,1)+1&amp;"."</f>
        <v>8.</v>
      </c>
      <c r="B150" s="214" t="s">
        <v>442</v>
      </c>
      <c r="C150" s="244"/>
      <c r="D150" s="309"/>
      <c r="E150" s="244"/>
      <c r="F150" s="309"/>
      <c r="G150" s="244"/>
      <c r="H150" s="221"/>
      <c r="I150" s="310"/>
      <c r="J150" s="221"/>
      <c r="K150" s="310"/>
    </row>
    <row r="151" spans="1:11" s="195" customFormat="1" ht="15.75">
      <c r="A151" s="311"/>
      <c r="B151" s="258"/>
      <c r="C151" s="258"/>
      <c r="D151" s="258"/>
      <c r="E151" s="258"/>
      <c r="F151" s="258"/>
      <c r="G151" s="216"/>
      <c r="H151" s="276"/>
      <c r="I151" s="303"/>
      <c r="J151" s="276"/>
      <c r="K151" s="303"/>
    </row>
    <row r="152" spans="2:11" s="195" customFormat="1" ht="15">
      <c r="B152" s="312" t="s">
        <v>422</v>
      </c>
      <c r="C152" s="312"/>
      <c r="D152" s="313" t="s">
        <v>733</v>
      </c>
      <c r="E152" s="312"/>
      <c r="F152" s="314" t="s">
        <v>443</v>
      </c>
      <c r="G152" s="312"/>
      <c r="H152" s="314" t="s">
        <v>444</v>
      </c>
      <c r="I152" s="312"/>
      <c r="J152" s="314" t="s">
        <v>444</v>
      </c>
      <c r="K152" s="312"/>
    </row>
    <row r="153" spans="1:11" s="195" customFormat="1" ht="14.25">
      <c r="A153" s="224"/>
      <c r="B153" s="315"/>
      <c r="C153" s="315"/>
      <c r="D153" s="315"/>
      <c r="E153" s="315"/>
      <c r="F153" s="315"/>
      <c r="G153" s="295"/>
      <c r="H153" s="316"/>
      <c r="I153" s="317"/>
      <c r="J153" s="316"/>
      <c r="K153" s="317"/>
    </row>
    <row r="154" spans="2:11" s="195" customFormat="1" ht="14.25">
      <c r="B154" s="269" t="s">
        <v>445</v>
      </c>
      <c r="C154" s="269"/>
      <c r="D154" s="318">
        <v>1164948728</v>
      </c>
      <c r="E154" s="319"/>
      <c r="F154" s="320">
        <v>85269263</v>
      </c>
      <c r="G154" s="280"/>
      <c r="H154" s="318">
        <v>1250217991</v>
      </c>
      <c r="I154" s="318"/>
      <c r="J154" s="318">
        <f>D154+F154-H154</f>
        <v>0</v>
      </c>
      <c r="K154" s="318"/>
    </row>
    <row r="155" spans="1:11" s="195" customFormat="1" ht="15">
      <c r="A155" s="214"/>
      <c r="B155" s="269" t="s">
        <v>446</v>
      </c>
      <c r="C155" s="269"/>
      <c r="D155" s="280">
        <v>73000955</v>
      </c>
      <c r="E155" s="280"/>
      <c r="F155" s="280">
        <v>20706922</v>
      </c>
      <c r="G155" s="280"/>
      <c r="H155" s="297">
        <v>15750000</v>
      </c>
      <c r="I155" s="280"/>
      <c r="J155" s="318">
        <f>D155+F155-H155</f>
        <v>77957877</v>
      </c>
      <c r="K155" s="280"/>
    </row>
    <row r="156" spans="1:11" s="195" customFormat="1" ht="28.5" customHeight="1" hidden="1">
      <c r="A156" s="214"/>
      <c r="B156" s="321" t="s">
        <v>447</v>
      </c>
      <c r="C156" s="269"/>
      <c r="D156" s="280"/>
      <c r="E156" s="280"/>
      <c r="F156" s="280"/>
      <c r="G156" s="280"/>
      <c r="H156" s="280"/>
      <c r="I156" s="280"/>
      <c r="J156" s="280"/>
      <c r="K156" s="280"/>
    </row>
    <row r="157" spans="1:11" s="195" customFormat="1" ht="29.25" customHeight="1">
      <c r="A157" s="214"/>
      <c r="B157" s="322" t="s">
        <v>448</v>
      </c>
      <c r="C157" s="279"/>
      <c r="D157" s="323">
        <f>D155+D154</f>
        <v>1237949683</v>
      </c>
      <c r="E157" s="324"/>
      <c r="F157" s="323">
        <f>F155+F154</f>
        <v>105976185</v>
      </c>
      <c r="G157" s="324"/>
      <c r="H157" s="323">
        <f>H155+H154</f>
        <v>1265967991</v>
      </c>
      <c r="I157" s="323">
        <f>I155+I154</f>
        <v>0</v>
      </c>
      <c r="J157" s="323">
        <f>J155+J154</f>
        <v>77957877</v>
      </c>
      <c r="K157" s="281"/>
    </row>
    <row r="158" spans="2:11" ht="15">
      <c r="B158" s="325"/>
      <c r="C158" s="326"/>
      <c r="D158" s="223"/>
      <c r="E158" s="326"/>
      <c r="F158" s="223"/>
      <c r="G158" s="326"/>
      <c r="H158" s="223"/>
      <c r="I158" s="327"/>
      <c r="J158" s="223"/>
      <c r="K158" s="327"/>
    </row>
    <row r="159" spans="1:11" ht="15">
      <c r="A159" s="214" t="str">
        <f>LEFT(A150,1)+1&amp;"."</f>
        <v>9.</v>
      </c>
      <c r="B159" s="215" t="s">
        <v>449</v>
      </c>
      <c r="C159" s="258"/>
      <c r="D159" s="258"/>
      <c r="E159" s="258"/>
      <c r="F159" s="258"/>
      <c r="G159" s="216"/>
      <c r="H159" s="254">
        <v>39447</v>
      </c>
      <c r="I159" s="219"/>
      <c r="J159" s="254">
        <v>39356</v>
      </c>
      <c r="K159" s="310"/>
    </row>
    <row r="160" spans="1:11" ht="15">
      <c r="A160" s="214"/>
      <c r="B160" s="215"/>
      <c r="C160" s="258"/>
      <c r="D160" s="258"/>
      <c r="E160" s="258"/>
      <c r="F160" s="258"/>
      <c r="G160" s="216"/>
      <c r="H160" s="222" t="s">
        <v>389</v>
      </c>
      <c r="I160" s="303"/>
      <c r="J160" s="222" t="s">
        <v>389</v>
      </c>
      <c r="K160" s="303"/>
    </row>
    <row r="161" spans="1:11" ht="14.25">
      <c r="A161" s="224"/>
      <c r="B161" s="224"/>
      <c r="C161" s="224"/>
      <c r="D161" s="224"/>
      <c r="E161" s="224"/>
      <c r="F161" s="224"/>
      <c r="G161" s="225"/>
      <c r="H161" s="226"/>
      <c r="I161" s="227"/>
      <c r="J161" s="226"/>
      <c r="K161" s="227"/>
    </row>
    <row r="162" spans="1:11" ht="14.25">
      <c r="A162" s="224"/>
      <c r="B162" s="328" t="s">
        <v>450</v>
      </c>
      <c r="C162" s="224"/>
      <c r="D162" s="224"/>
      <c r="E162" s="224"/>
      <c r="F162" s="224"/>
      <c r="G162" s="225"/>
      <c r="H162" s="284">
        <v>0</v>
      </c>
      <c r="I162" s="232"/>
      <c r="J162" s="284">
        <v>152822633</v>
      </c>
      <c r="K162" s="232"/>
    </row>
    <row r="163" spans="1:11" ht="15">
      <c r="A163" s="224"/>
      <c r="B163" s="328"/>
      <c r="C163" s="224"/>
      <c r="D163" s="224"/>
      <c r="E163" s="224"/>
      <c r="F163" s="224"/>
      <c r="G163" s="225"/>
      <c r="H163" s="329"/>
      <c r="I163" s="232"/>
      <c r="J163" s="329"/>
      <c r="K163" s="232"/>
    </row>
    <row r="164" spans="1:11" ht="15.75" thickBot="1">
      <c r="A164" s="258"/>
      <c r="B164" s="215" t="s">
        <v>398</v>
      </c>
      <c r="C164" s="258"/>
      <c r="D164" s="258"/>
      <c r="E164" s="258"/>
      <c r="F164" s="258"/>
      <c r="G164" s="216"/>
      <c r="H164" s="249">
        <f>SUM(H162:H162)</f>
        <v>0</v>
      </c>
      <c r="I164" s="250"/>
      <c r="J164" s="249">
        <f>SUM(J162:J162)</f>
        <v>152822633</v>
      </c>
      <c r="K164" s="250"/>
    </row>
    <row r="165" spans="1:11" ht="17.25" customHeight="1" thickTop="1">
      <c r="A165" s="330"/>
      <c r="B165" s="330"/>
      <c r="C165" s="330"/>
      <c r="D165" s="330"/>
      <c r="E165" s="330"/>
      <c r="F165" s="330"/>
      <c r="H165" s="228"/>
      <c r="K165" s="253"/>
    </row>
    <row r="166" spans="1:11" s="195" customFormat="1" ht="15">
      <c r="A166" s="214" t="str">
        <f>LEFT(A159,1)+1&amp;"."</f>
        <v>10.</v>
      </c>
      <c r="B166" s="215" t="s">
        <v>451</v>
      </c>
      <c r="C166" s="258"/>
      <c r="D166" s="258"/>
      <c r="E166" s="258"/>
      <c r="F166" s="258"/>
      <c r="G166" s="216"/>
      <c r="H166" s="254">
        <v>39447</v>
      </c>
      <c r="I166" s="219"/>
      <c r="J166" s="254">
        <v>39356</v>
      </c>
      <c r="K166" s="310"/>
    </row>
    <row r="167" spans="1:14" s="195" customFormat="1" ht="15">
      <c r="A167" s="214"/>
      <c r="B167" s="215"/>
      <c r="C167" s="258"/>
      <c r="D167" s="258"/>
      <c r="E167" s="258"/>
      <c r="F167" s="258"/>
      <c r="G167" s="216"/>
      <c r="H167" s="222" t="s">
        <v>389</v>
      </c>
      <c r="I167" s="303"/>
      <c r="J167" s="222" t="s">
        <v>389</v>
      </c>
      <c r="K167" s="303"/>
      <c r="N167" s="216">
        <v>477339389</v>
      </c>
    </row>
    <row r="168" spans="1:14" s="195" customFormat="1" ht="14.25">
      <c r="A168" s="224"/>
      <c r="B168" s="224"/>
      <c r="C168" s="224"/>
      <c r="D168" s="224"/>
      <c r="E168" s="224"/>
      <c r="F168" s="224"/>
      <c r="G168" s="225"/>
      <c r="H168" s="226"/>
      <c r="I168" s="227"/>
      <c r="J168" s="226"/>
      <c r="K168" s="227"/>
      <c r="N168" s="216">
        <v>15000000</v>
      </c>
    </row>
    <row r="169" spans="1:14" s="195" customFormat="1" ht="15">
      <c r="A169" s="331"/>
      <c r="B169" s="332" t="s">
        <v>452</v>
      </c>
      <c r="C169" s="333"/>
      <c r="D169" s="333"/>
      <c r="E169" s="333"/>
      <c r="F169" s="333"/>
      <c r="G169" s="298"/>
      <c r="H169" s="318">
        <f>J169-21234100-19630500+24256900</f>
        <v>7967600</v>
      </c>
      <c r="I169" s="282"/>
      <c r="J169" s="318">
        <v>24575300</v>
      </c>
      <c r="K169" s="241"/>
      <c r="N169" s="216">
        <f>N168+N167</f>
        <v>492339389</v>
      </c>
    </row>
    <row r="170" spans="1:11" s="195" customFormat="1" ht="15">
      <c r="A170" s="214"/>
      <c r="B170" s="332" t="s">
        <v>714</v>
      </c>
      <c r="C170" s="332"/>
      <c r="D170" s="332"/>
      <c r="E170" s="332"/>
      <c r="F170" s="334"/>
      <c r="G170" s="334"/>
      <c r="H170" s="335">
        <v>0</v>
      </c>
      <c r="I170" s="336"/>
      <c r="J170" s="335">
        <v>1007000000</v>
      </c>
      <c r="K170" s="337"/>
    </row>
    <row r="171" spans="1:11" s="195" customFormat="1" ht="15">
      <c r="A171" s="214"/>
      <c r="B171" s="332" t="s">
        <v>715</v>
      </c>
      <c r="C171" s="332"/>
      <c r="D171" s="332"/>
      <c r="E171" s="332"/>
      <c r="F171" s="334"/>
      <c r="G171" s="334"/>
      <c r="H171" s="335">
        <v>191555844</v>
      </c>
      <c r="I171" s="336"/>
      <c r="J171" s="335">
        <v>191555844</v>
      </c>
      <c r="K171" s="337"/>
    </row>
    <row r="172" spans="1:11" s="195" customFormat="1" ht="15">
      <c r="A172" s="214"/>
      <c r="B172" s="332" t="s">
        <v>746</v>
      </c>
      <c r="C172" s="332"/>
      <c r="D172" s="332"/>
      <c r="E172" s="332"/>
      <c r="F172" s="334"/>
      <c r="G172" s="334"/>
      <c r="H172" s="335">
        <f>8396918+6265045+8012413</f>
        <v>22674376</v>
      </c>
      <c r="I172" s="336"/>
      <c r="J172" s="335">
        <v>0</v>
      </c>
      <c r="K172" s="337"/>
    </row>
    <row r="173" spans="1:11" s="195" customFormat="1" ht="15">
      <c r="A173" s="214"/>
      <c r="B173" s="332" t="s">
        <v>759</v>
      </c>
      <c r="C173" s="332"/>
      <c r="D173" s="332"/>
      <c r="E173" s="332"/>
      <c r="F173" s="334"/>
      <c r="G173" s="334"/>
      <c r="H173" s="335">
        <v>43955743</v>
      </c>
      <c r="I173" s="336"/>
      <c r="J173" s="335"/>
      <c r="K173" s="337"/>
    </row>
    <row r="174" spans="1:11" s="195" customFormat="1" ht="15.75" thickBot="1">
      <c r="A174" s="258"/>
      <c r="B174" s="215" t="s">
        <v>398</v>
      </c>
      <c r="C174" s="258"/>
      <c r="D174" s="258"/>
      <c r="E174" s="258"/>
      <c r="F174" s="258"/>
      <c r="G174" s="216"/>
      <c r="H174" s="249">
        <f>SUM(H169:H173)</f>
        <v>266153563</v>
      </c>
      <c r="I174" s="250"/>
      <c r="J174" s="249">
        <f>+SUM(J169:J171)</f>
        <v>1223131144</v>
      </c>
      <c r="K174" s="250"/>
    </row>
    <row r="175" spans="1:11" ht="15" thickTop="1">
      <c r="A175" s="330"/>
      <c r="B175" s="330"/>
      <c r="C175" s="330"/>
      <c r="D175" s="330"/>
      <c r="E175" s="330"/>
      <c r="F175" s="330"/>
      <c r="H175" s="228"/>
      <c r="K175" s="253"/>
    </row>
    <row r="176" spans="1:11" s="269" customFormat="1" ht="15">
      <c r="A176" s="214">
        <v>11</v>
      </c>
      <c r="B176" s="265" t="s">
        <v>453</v>
      </c>
      <c r="C176" s="338"/>
      <c r="D176" s="338"/>
      <c r="E176" s="338"/>
      <c r="F176" s="339"/>
      <c r="G176" s="266"/>
      <c r="H176" s="254">
        <v>39447</v>
      </c>
      <c r="I176" s="219"/>
      <c r="J176" s="254">
        <v>39356</v>
      </c>
      <c r="K176" s="310"/>
    </row>
    <row r="177" spans="1:16" s="269" customFormat="1" ht="15">
      <c r="A177" s="270"/>
      <c r="B177" s="265"/>
      <c r="C177" s="338"/>
      <c r="D177" s="338"/>
      <c r="E177" s="338"/>
      <c r="F177" s="340"/>
      <c r="G177" s="266"/>
      <c r="H177" s="341" t="s">
        <v>389</v>
      </c>
      <c r="I177" s="268"/>
      <c r="J177" s="341" t="s">
        <v>389</v>
      </c>
      <c r="K177" s="268"/>
      <c r="N177" s="266"/>
      <c r="O177" s="266"/>
      <c r="P177" s="266"/>
    </row>
    <row r="178" spans="1:16" s="269" customFormat="1" ht="14.25">
      <c r="A178" s="315"/>
      <c r="B178" s="315"/>
      <c r="C178" s="315"/>
      <c r="D178" s="315"/>
      <c r="E178" s="315"/>
      <c r="F178" s="315"/>
      <c r="G178" s="295"/>
      <c r="H178" s="316"/>
      <c r="I178" s="317"/>
      <c r="J178" s="316"/>
      <c r="K178" s="317"/>
      <c r="N178" s="266"/>
      <c r="O178" s="266"/>
      <c r="P178" s="266"/>
    </row>
    <row r="179" spans="1:11" s="288" customFormat="1" ht="15">
      <c r="A179" s="342"/>
      <c r="B179" s="215"/>
      <c r="C179" s="258"/>
      <c r="D179" s="258"/>
      <c r="E179" s="258"/>
      <c r="F179" s="258"/>
      <c r="G179" s="216"/>
      <c r="H179" s="221"/>
      <c r="I179" s="305"/>
      <c r="J179" s="221"/>
      <c r="K179" s="305"/>
    </row>
    <row r="180" spans="1:11" s="345" customFormat="1" ht="30.75" customHeight="1" hidden="1">
      <c r="A180" s="343"/>
      <c r="B180" s="575" t="s">
        <v>454</v>
      </c>
      <c r="C180" s="576"/>
      <c r="D180" s="576"/>
      <c r="E180" s="576"/>
      <c r="F180" s="576"/>
      <c r="G180" s="576"/>
      <c r="H180" s="576"/>
      <c r="I180" s="576"/>
      <c r="J180" s="576"/>
      <c r="K180" s="344"/>
    </row>
    <row r="181" spans="1:11" s="345" customFormat="1" ht="15" hidden="1">
      <c r="A181" s="343"/>
      <c r="B181" s="346"/>
      <c r="C181" s="347"/>
      <c r="D181" s="347"/>
      <c r="E181" s="347"/>
      <c r="F181" s="348"/>
      <c r="G181" s="295"/>
      <c r="H181" s="349"/>
      <c r="I181" s="268"/>
      <c r="J181" s="349"/>
      <c r="K181" s="344"/>
    </row>
    <row r="182" spans="1:11" s="345" customFormat="1" ht="15" customHeight="1" hidden="1">
      <c r="A182" s="343"/>
      <c r="B182" s="350" t="s">
        <v>455</v>
      </c>
      <c r="C182" s="347"/>
      <c r="D182" s="345" t="s">
        <v>456</v>
      </c>
      <c r="E182" s="351"/>
      <c r="F182" s="352"/>
      <c r="G182" s="295"/>
      <c r="H182" s="266"/>
      <c r="I182" s="268"/>
      <c r="J182" s="266"/>
      <c r="K182" s="344"/>
    </row>
    <row r="183" spans="1:11" s="345" customFormat="1" ht="15" customHeight="1" hidden="1">
      <c r="A183" s="343"/>
      <c r="B183" s="350" t="s">
        <v>457</v>
      </c>
      <c r="C183" s="347"/>
      <c r="D183" s="345" t="s">
        <v>458</v>
      </c>
      <c r="F183" s="352"/>
      <c r="G183" s="266"/>
      <c r="H183" s="266"/>
      <c r="I183" s="268"/>
      <c r="J183" s="266"/>
      <c r="K183" s="344"/>
    </row>
    <row r="184" spans="1:11" s="345" customFormat="1" ht="15" customHeight="1" hidden="1">
      <c r="A184" s="343"/>
      <c r="B184" s="350" t="s">
        <v>459</v>
      </c>
      <c r="C184" s="347"/>
      <c r="D184" s="345" t="s">
        <v>460</v>
      </c>
      <c r="F184" s="352"/>
      <c r="G184" s="266"/>
      <c r="H184" s="266"/>
      <c r="I184" s="268"/>
      <c r="J184" s="266"/>
      <c r="K184" s="344"/>
    </row>
    <row r="185" spans="1:11" s="345" customFormat="1" ht="15" customHeight="1" hidden="1">
      <c r="A185" s="343"/>
      <c r="B185" s="350" t="s">
        <v>461</v>
      </c>
      <c r="C185" s="347"/>
      <c r="D185" s="345" t="s">
        <v>462</v>
      </c>
      <c r="F185" s="352"/>
      <c r="G185" s="266"/>
      <c r="H185" s="266"/>
      <c r="I185" s="268"/>
      <c r="J185" s="266"/>
      <c r="K185" s="344"/>
    </row>
    <row r="186" spans="1:11" s="345" customFormat="1" ht="15" customHeight="1" hidden="1">
      <c r="A186" s="343"/>
      <c r="B186" s="350" t="s">
        <v>463</v>
      </c>
      <c r="C186" s="347"/>
      <c r="D186" s="345" t="s">
        <v>464</v>
      </c>
      <c r="F186" s="352"/>
      <c r="G186" s="266"/>
      <c r="H186" s="266"/>
      <c r="I186" s="268"/>
      <c r="J186" s="266"/>
      <c r="K186" s="344"/>
    </row>
    <row r="187" spans="1:11" s="345" customFormat="1" ht="15" customHeight="1" hidden="1">
      <c r="A187" s="343"/>
      <c r="B187" s="350" t="s">
        <v>465</v>
      </c>
      <c r="C187" s="347"/>
      <c r="D187" s="577" t="s">
        <v>466</v>
      </c>
      <c r="E187" s="578"/>
      <c r="F187" s="578"/>
      <c r="G187" s="578"/>
      <c r="H187" s="578"/>
      <c r="I187" s="578"/>
      <c r="J187" s="578"/>
      <c r="K187" s="344"/>
    </row>
    <row r="188" spans="1:11" s="345" customFormat="1" ht="15" customHeight="1" hidden="1">
      <c r="A188" s="343"/>
      <c r="B188" s="350"/>
      <c r="C188" s="347"/>
      <c r="D188" s="353"/>
      <c r="E188" s="354"/>
      <c r="F188" s="354"/>
      <c r="G188" s="354"/>
      <c r="H188" s="354"/>
      <c r="I188" s="354"/>
      <c r="J188" s="354"/>
      <c r="K188" s="344"/>
    </row>
    <row r="189" spans="1:11" s="345" customFormat="1" ht="15" customHeight="1" hidden="1">
      <c r="A189" s="343"/>
      <c r="B189" s="350" t="s">
        <v>467</v>
      </c>
      <c r="C189" s="347"/>
      <c r="D189" s="345" t="s">
        <v>468</v>
      </c>
      <c r="E189" s="354"/>
      <c r="F189" s="354"/>
      <c r="G189" s="354"/>
      <c r="H189" s="354"/>
      <c r="I189" s="354"/>
      <c r="J189" s="354"/>
      <c r="K189" s="344"/>
    </row>
    <row r="190" spans="1:11" s="345" customFormat="1" ht="15" customHeight="1" hidden="1">
      <c r="A190" s="343"/>
      <c r="B190" s="350" t="s">
        <v>469</v>
      </c>
      <c r="C190" s="347"/>
      <c r="D190" s="345" t="s">
        <v>470</v>
      </c>
      <c r="E190" s="354"/>
      <c r="F190" s="354"/>
      <c r="G190" s="354"/>
      <c r="H190" s="354"/>
      <c r="I190" s="354"/>
      <c r="J190" s="354"/>
      <c r="K190" s="344"/>
    </row>
    <row r="191" spans="1:11" s="358" customFormat="1" ht="15" customHeight="1">
      <c r="A191" s="355"/>
      <c r="B191" s="356"/>
      <c r="C191" s="357"/>
      <c r="F191" s="359"/>
      <c r="G191" s="290"/>
      <c r="H191" s="290"/>
      <c r="I191" s="360"/>
      <c r="J191" s="290"/>
      <c r="K191" s="361"/>
    </row>
    <row r="192" spans="1:8" ht="15" hidden="1">
      <c r="A192" s="251" t="str">
        <f>LEFT(A176,2)+1&amp;"."</f>
        <v>12.</v>
      </c>
      <c r="B192" s="362" t="s">
        <v>471</v>
      </c>
      <c r="C192" s="330"/>
      <c r="D192" s="330"/>
      <c r="E192" s="330"/>
      <c r="F192" s="330"/>
      <c r="H192" s="228"/>
    </row>
    <row r="193" spans="1:8" ht="14.25" hidden="1">
      <c r="A193" s="330"/>
      <c r="B193" s="330"/>
      <c r="C193" s="330"/>
      <c r="D193" s="330"/>
      <c r="E193" s="330"/>
      <c r="F193" s="330"/>
      <c r="H193" s="228"/>
    </row>
    <row r="194" spans="1:10" ht="15" hidden="1">
      <c r="A194" s="363" t="str">
        <f>LEFT($A$192,2)&amp;".1"</f>
        <v>12.1</v>
      </c>
      <c r="B194" s="364" t="s">
        <v>472</v>
      </c>
      <c r="C194" s="330"/>
      <c r="D194" s="330"/>
      <c r="E194" s="330"/>
      <c r="F194" s="330"/>
      <c r="H194" s="223" t="str">
        <f>H$11</f>
        <v>31/12/2006</v>
      </c>
      <c r="I194" s="365"/>
      <c r="J194" s="223" t="str">
        <f>J$11</f>
        <v>01/01/2006</v>
      </c>
    </row>
    <row r="195" spans="2:10" ht="15" hidden="1">
      <c r="B195" s="362"/>
      <c r="C195" s="330"/>
      <c r="D195" s="330"/>
      <c r="E195" s="330"/>
      <c r="F195" s="330"/>
      <c r="H195" s="366" t="s">
        <v>389</v>
      </c>
      <c r="J195" s="366" t="s">
        <v>389</v>
      </c>
    </row>
    <row r="196" spans="1:10" ht="14.25" hidden="1">
      <c r="A196" s="367"/>
      <c r="B196" s="367"/>
      <c r="C196" s="367"/>
      <c r="D196" s="367"/>
      <c r="E196" s="367"/>
      <c r="F196" s="367"/>
      <c r="G196" s="368"/>
      <c r="H196" s="369"/>
      <c r="I196" s="370"/>
      <c r="J196" s="369"/>
    </row>
    <row r="197" spans="1:10" ht="28.5" customHeight="1" hidden="1">
      <c r="A197" s="367"/>
      <c r="B197" s="579" t="s">
        <v>473</v>
      </c>
      <c r="C197" s="579"/>
      <c r="D197" s="579"/>
      <c r="E197" s="579"/>
      <c r="F197" s="579"/>
      <c r="G197" s="368"/>
      <c r="H197" s="371"/>
      <c r="I197" s="372"/>
      <c r="J197" s="371"/>
    </row>
    <row r="198" spans="1:10" ht="28.5" customHeight="1" hidden="1">
      <c r="A198" s="367"/>
      <c r="B198" s="579" t="s">
        <v>474</v>
      </c>
      <c r="C198" s="579"/>
      <c r="D198" s="579"/>
      <c r="E198" s="579"/>
      <c r="F198" s="579"/>
      <c r="G198" s="368"/>
      <c r="H198" s="371"/>
      <c r="I198" s="372"/>
      <c r="J198" s="371"/>
    </row>
    <row r="199" spans="1:10" ht="28.5" customHeight="1" hidden="1">
      <c r="A199" s="367"/>
      <c r="B199" s="579" t="s">
        <v>475</v>
      </c>
      <c r="C199" s="579"/>
      <c r="D199" s="579"/>
      <c r="E199" s="579"/>
      <c r="F199" s="579"/>
      <c r="G199" s="368"/>
      <c r="H199" s="371"/>
      <c r="I199" s="372"/>
      <c r="J199" s="371"/>
    </row>
    <row r="200" spans="1:10" ht="28.5" customHeight="1" hidden="1">
      <c r="A200" s="367"/>
      <c r="B200" s="579" t="s">
        <v>476</v>
      </c>
      <c r="C200" s="579"/>
      <c r="D200" s="579"/>
      <c r="E200" s="579"/>
      <c r="F200" s="579"/>
      <c r="G200" s="368"/>
      <c r="H200" s="371"/>
      <c r="I200" s="372"/>
      <c r="J200" s="371"/>
    </row>
    <row r="201" spans="1:10" ht="14.25" hidden="1">
      <c r="A201" s="330"/>
      <c r="B201" s="330"/>
      <c r="C201" s="330"/>
      <c r="D201" s="330"/>
      <c r="E201" s="330"/>
      <c r="F201" s="330"/>
      <c r="H201" s="371"/>
      <c r="I201" s="372"/>
      <c r="J201" s="371"/>
    </row>
    <row r="202" spans="1:11" s="378" customFormat="1" ht="15.75" hidden="1" thickBot="1">
      <c r="A202" s="373"/>
      <c r="B202" s="364" t="s">
        <v>472</v>
      </c>
      <c r="C202" s="373"/>
      <c r="D202" s="373"/>
      <c r="E202" s="373"/>
      <c r="F202" s="373"/>
      <c r="G202" s="374"/>
      <c r="H202" s="375">
        <f>SUM(H197:H201)</f>
        <v>0</v>
      </c>
      <c r="I202" s="376"/>
      <c r="J202" s="375">
        <f>SUM(J197:J201)</f>
        <v>0</v>
      </c>
      <c r="K202" s="377"/>
    </row>
    <row r="203" spans="1:8" ht="14.25" hidden="1">
      <c r="A203" s="330"/>
      <c r="B203" s="330"/>
      <c r="C203" s="330"/>
      <c r="D203" s="330"/>
      <c r="E203" s="330"/>
      <c r="F203" s="330"/>
      <c r="H203" s="228"/>
    </row>
    <row r="204" spans="1:10" ht="15" hidden="1">
      <c r="A204" s="363" t="str">
        <f>LEFT($A$192,2)&amp;".2"</f>
        <v>12.2</v>
      </c>
      <c r="B204" s="364" t="s">
        <v>477</v>
      </c>
      <c r="C204" s="330"/>
      <c r="D204" s="330"/>
      <c r="E204" s="330"/>
      <c r="F204" s="330"/>
      <c r="H204" s="223" t="str">
        <f>H$11</f>
        <v>31/12/2006</v>
      </c>
      <c r="I204" s="365"/>
      <c r="J204" s="223" t="str">
        <f>J$11</f>
        <v>01/01/2006</v>
      </c>
    </row>
    <row r="205" spans="2:10" ht="15" hidden="1">
      <c r="B205" s="362"/>
      <c r="C205" s="330"/>
      <c r="D205" s="330"/>
      <c r="E205" s="330"/>
      <c r="F205" s="330"/>
      <c r="H205" s="366" t="s">
        <v>389</v>
      </c>
      <c r="J205" s="366" t="s">
        <v>389</v>
      </c>
    </row>
    <row r="206" spans="1:10" ht="14.25" hidden="1">
      <c r="A206" s="367"/>
      <c r="B206" s="367"/>
      <c r="C206" s="367"/>
      <c r="D206" s="367"/>
      <c r="E206" s="367"/>
      <c r="F206" s="367"/>
      <c r="G206" s="368"/>
      <c r="H206" s="369"/>
      <c r="I206" s="370"/>
      <c r="J206" s="369"/>
    </row>
    <row r="207" spans="1:10" ht="28.5" customHeight="1" hidden="1">
      <c r="A207" s="367"/>
      <c r="B207" s="579" t="s">
        <v>478</v>
      </c>
      <c r="C207" s="579"/>
      <c r="D207" s="579"/>
      <c r="E207" s="579"/>
      <c r="F207" s="579"/>
      <c r="G207" s="368"/>
      <c r="H207" s="371"/>
      <c r="I207" s="372"/>
      <c r="J207" s="371"/>
    </row>
    <row r="208" spans="1:10" ht="28.5" customHeight="1" hidden="1">
      <c r="A208" s="367"/>
      <c r="B208" s="579" t="s">
        <v>479</v>
      </c>
      <c r="C208" s="579"/>
      <c r="D208" s="579"/>
      <c r="E208" s="579"/>
      <c r="F208" s="579"/>
      <c r="G208" s="368"/>
      <c r="H208" s="371"/>
      <c r="I208" s="372"/>
      <c r="J208" s="371"/>
    </row>
    <row r="209" spans="1:10" ht="14.25" hidden="1">
      <c r="A209" s="330"/>
      <c r="B209" s="330"/>
      <c r="C209" s="330"/>
      <c r="D209" s="330"/>
      <c r="E209" s="330"/>
      <c r="F209" s="330"/>
      <c r="H209" s="371"/>
      <c r="I209" s="372"/>
      <c r="J209" s="371"/>
    </row>
    <row r="210" spans="1:11" s="378" customFormat="1" ht="15.75" hidden="1" thickBot="1">
      <c r="A210" s="373"/>
      <c r="B210" s="364" t="s">
        <v>477</v>
      </c>
      <c r="C210" s="373"/>
      <c r="D210" s="373"/>
      <c r="E210" s="373"/>
      <c r="F210" s="373"/>
      <c r="G210" s="374"/>
      <c r="H210" s="375">
        <f>SUM(H207:H209)</f>
        <v>0</v>
      </c>
      <c r="I210" s="376"/>
      <c r="J210" s="375">
        <f>SUM(J207:J209)</f>
        <v>0</v>
      </c>
      <c r="K210" s="377"/>
    </row>
    <row r="211" spans="1:8" ht="14.25" hidden="1">
      <c r="A211" s="330"/>
      <c r="B211" s="330"/>
      <c r="C211" s="330"/>
      <c r="D211" s="330"/>
      <c r="E211" s="330"/>
      <c r="F211" s="330"/>
      <c r="H211" s="228"/>
    </row>
    <row r="212" spans="1:11" s="269" customFormat="1" ht="15" customHeight="1">
      <c r="A212" s="214" t="str">
        <f>LEFT(A176,2)+1&amp;"."</f>
        <v>12.</v>
      </c>
      <c r="B212" s="379" t="s">
        <v>480</v>
      </c>
      <c r="C212" s="380"/>
      <c r="D212" s="380"/>
      <c r="E212" s="380"/>
      <c r="F212" s="380"/>
      <c r="G212" s="380"/>
      <c r="H212" s="380"/>
      <c r="I212" s="380"/>
      <c r="J212" s="381"/>
      <c r="K212" s="382"/>
    </row>
    <row r="213" spans="1:11" s="269" customFormat="1" ht="15">
      <c r="A213" s="270"/>
      <c r="B213" s="379"/>
      <c r="C213" s="380"/>
      <c r="D213" s="380"/>
      <c r="E213" s="380"/>
      <c r="F213" s="380"/>
      <c r="G213" s="380"/>
      <c r="H213" s="380"/>
      <c r="I213" s="380"/>
      <c r="J213" s="381"/>
      <c r="K213" s="382"/>
    </row>
    <row r="214" spans="1:11" s="269" customFormat="1" ht="15" customHeight="1">
      <c r="A214" s="294" t="str">
        <f>LEFT($A$212,2)&amp;".1"</f>
        <v>12.1</v>
      </c>
      <c r="B214" s="294" t="s">
        <v>481</v>
      </c>
      <c r="C214" s="380"/>
      <c r="D214" s="380"/>
      <c r="E214" s="380"/>
      <c r="F214" s="380"/>
      <c r="G214" s="380"/>
      <c r="H214" s="380"/>
      <c r="I214" s="380"/>
      <c r="J214" s="381"/>
      <c r="K214" s="382"/>
    </row>
    <row r="215" spans="1:11" s="269" customFormat="1" ht="14.25">
      <c r="A215" s="294"/>
      <c r="B215" s="294"/>
      <c r="C215" s="380"/>
      <c r="D215" s="380"/>
      <c r="E215" s="380"/>
      <c r="F215" s="380"/>
      <c r="G215" s="380"/>
      <c r="H215" s="380"/>
      <c r="I215" s="380"/>
      <c r="J215" s="381"/>
      <c r="K215" s="382"/>
    </row>
    <row r="216" spans="1:11" s="312" customFormat="1" ht="44.25" customHeight="1">
      <c r="A216" s="383"/>
      <c r="B216" s="384"/>
      <c r="C216" s="384"/>
      <c r="D216" s="273" t="s">
        <v>482</v>
      </c>
      <c r="E216" s="385"/>
      <c r="F216" s="273" t="s">
        <v>483</v>
      </c>
      <c r="G216" s="385"/>
      <c r="H216" s="273" t="s">
        <v>484</v>
      </c>
      <c r="I216" s="385"/>
      <c r="J216" s="275" t="s">
        <v>398</v>
      </c>
      <c r="K216" s="387"/>
    </row>
    <row r="217" spans="1:11" s="392" customFormat="1" ht="16.5">
      <c r="A217" s="383"/>
      <c r="B217" s="388"/>
      <c r="C217" s="388"/>
      <c r="D217" s="389"/>
      <c r="E217" s="390"/>
      <c r="F217" s="389"/>
      <c r="G217" s="390"/>
      <c r="H217" s="389"/>
      <c r="I217" s="390"/>
      <c r="J217" s="389"/>
      <c r="K217" s="391"/>
    </row>
    <row r="218" spans="2:11" s="269" customFormat="1" ht="15" customHeight="1">
      <c r="B218" s="393" t="s">
        <v>492</v>
      </c>
      <c r="C218" s="394"/>
      <c r="D218" s="395">
        <v>10000000000</v>
      </c>
      <c r="E218" s="395"/>
      <c r="F218" s="395">
        <v>0</v>
      </c>
      <c r="G218" s="395"/>
      <c r="H218" s="395">
        <v>1126980961</v>
      </c>
      <c r="I218" s="395"/>
      <c r="J218" s="395">
        <f>SUM(D218:H218)</f>
        <v>11126980961</v>
      </c>
      <c r="K218" s="396"/>
    </row>
    <row r="219" spans="2:11" s="269" customFormat="1" ht="15" customHeight="1">
      <c r="B219" s="397" t="s">
        <v>485</v>
      </c>
      <c r="C219" s="398"/>
      <c r="D219" s="399">
        <v>0</v>
      </c>
      <c r="E219" s="399">
        <v>0</v>
      </c>
      <c r="F219" s="399">
        <v>0</v>
      </c>
      <c r="G219" s="399"/>
      <c r="H219" s="399">
        <v>0</v>
      </c>
      <c r="I219" s="399"/>
      <c r="J219" s="399">
        <f>SUM(D219:H219)</f>
        <v>0</v>
      </c>
      <c r="K219" s="400"/>
    </row>
    <row r="220" spans="2:11" s="269" customFormat="1" ht="15" customHeight="1">
      <c r="B220" s="397" t="s">
        <v>486</v>
      </c>
      <c r="C220" s="398"/>
      <c r="D220" s="399">
        <v>0</v>
      </c>
      <c r="E220" s="399"/>
      <c r="F220" s="399">
        <v>0</v>
      </c>
      <c r="G220" s="399"/>
      <c r="H220" s="399">
        <v>974516078</v>
      </c>
      <c r="I220" s="399"/>
      <c r="J220" s="399">
        <f>SUM(D220:H220)</f>
        <v>974516078</v>
      </c>
      <c r="K220" s="400"/>
    </row>
    <row r="221" spans="2:11" s="269" customFormat="1" ht="15" customHeight="1" hidden="1">
      <c r="B221" s="397" t="s">
        <v>487</v>
      </c>
      <c r="C221" s="398"/>
      <c r="D221" s="399">
        <v>0</v>
      </c>
      <c r="E221" s="399"/>
      <c r="F221" s="399">
        <v>0</v>
      </c>
      <c r="G221" s="399"/>
      <c r="H221" s="399">
        <v>0</v>
      </c>
      <c r="I221" s="399"/>
      <c r="J221" s="399">
        <f>SUM(D221:H221)</f>
        <v>0</v>
      </c>
      <c r="K221" s="400"/>
    </row>
    <row r="222" spans="2:11" s="269" customFormat="1" ht="14.25" hidden="1">
      <c r="B222" s="397" t="s">
        <v>488</v>
      </c>
      <c r="C222" s="398"/>
      <c r="D222" s="399">
        <v>0</v>
      </c>
      <c r="E222" s="399"/>
      <c r="F222" s="399">
        <v>0</v>
      </c>
      <c r="G222" s="399"/>
      <c r="H222" s="399">
        <v>0</v>
      </c>
      <c r="I222" s="399"/>
      <c r="J222" s="399">
        <f>SUM(D222:H222)</f>
        <v>0</v>
      </c>
      <c r="K222" s="400"/>
    </row>
    <row r="223" spans="2:11" s="269" customFormat="1" ht="14.25">
      <c r="B223" s="397" t="s">
        <v>489</v>
      </c>
      <c r="C223" s="398"/>
      <c r="D223" s="399">
        <v>0</v>
      </c>
      <c r="E223" s="399"/>
      <c r="F223" s="399">
        <v>0</v>
      </c>
      <c r="G223" s="399"/>
      <c r="H223" s="399">
        <v>0</v>
      </c>
      <c r="I223" s="399"/>
      <c r="J223" s="399">
        <f>SUM(D223:I223)</f>
        <v>0</v>
      </c>
      <c r="K223" s="400"/>
    </row>
    <row r="224" spans="2:11" s="269" customFormat="1" ht="14.25" hidden="1">
      <c r="B224" s="397" t="s">
        <v>490</v>
      </c>
      <c r="C224" s="398"/>
      <c r="D224" s="399">
        <v>0</v>
      </c>
      <c r="E224" s="399"/>
      <c r="F224" s="399">
        <v>0</v>
      </c>
      <c r="G224" s="399"/>
      <c r="H224" s="399">
        <v>0</v>
      </c>
      <c r="I224" s="399"/>
      <c r="J224" s="399">
        <v>0</v>
      </c>
      <c r="K224" s="400"/>
    </row>
    <row r="225" spans="2:11" s="269" customFormat="1" ht="17.25" customHeight="1" thickBot="1">
      <c r="B225" s="393" t="s">
        <v>734</v>
      </c>
      <c r="C225" s="394"/>
      <c r="D225" s="401">
        <f>+D218+D219+D220-D223</f>
        <v>10000000000</v>
      </c>
      <c r="E225" s="395"/>
      <c r="F225" s="401">
        <f>+F218+F219+F220-F223</f>
        <v>0</v>
      </c>
      <c r="G225" s="395"/>
      <c r="H225" s="401">
        <f>H220+H218</f>
        <v>2101497039</v>
      </c>
      <c r="I225" s="395"/>
      <c r="J225" s="401">
        <f>D225+H225</f>
        <v>12101497039</v>
      </c>
      <c r="K225" s="396"/>
    </row>
    <row r="226" spans="1:11" s="269" customFormat="1" ht="15" customHeight="1" thickTop="1">
      <c r="A226" s="294" t="str">
        <f>LEFT($A$212,2)&amp;".2"</f>
        <v>12.2</v>
      </c>
      <c r="B226" s="402" t="s">
        <v>493</v>
      </c>
      <c r="C226" s="403"/>
      <c r="D226" s="403"/>
      <c r="E226" s="403"/>
      <c r="F226" s="404"/>
      <c r="G226" s="403"/>
      <c r="H226" s="254">
        <v>39447</v>
      </c>
      <c r="I226" s="219"/>
      <c r="J226" s="254">
        <v>39356</v>
      </c>
      <c r="K226" s="405"/>
    </row>
    <row r="227" spans="1:11" s="269" customFormat="1" ht="15" customHeight="1">
      <c r="A227" s="403"/>
      <c r="B227" s="403"/>
      <c r="C227" s="403"/>
      <c r="D227" s="403"/>
      <c r="E227" s="403"/>
      <c r="F227" s="403"/>
      <c r="G227" s="403"/>
      <c r="H227" s="341" t="s">
        <v>389</v>
      </c>
      <c r="I227" s="268"/>
      <c r="J227" s="341" t="s">
        <v>389</v>
      </c>
      <c r="K227" s="405"/>
    </row>
    <row r="228" spans="1:11" s="269" customFormat="1" ht="15" customHeight="1">
      <c r="A228" s="379"/>
      <c r="B228" s="332"/>
      <c r="C228" s="398"/>
      <c r="D228" s="406"/>
      <c r="E228" s="407"/>
      <c r="F228" s="408"/>
      <c r="G228" s="398"/>
      <c r="H228" s="316"/>
      <c r="I228" s="317"/>
      <c r="J228" s="316"/>
      <c r="K228" s="409"/>
    </row>
    <row r="229" spans="1:11" s="269" customFormat="1" ht="15">
      <c r="A229" s="379"/>
      <c r="B229" s="332" t="s">
        <v>403</v>
      </c>
      <c r="C229" s="398"/>
      <c r="D229" s="407"/>
      <c r="E229" s="407"/>
      <c r="F229" s="398"/>
      <c r="G229" s="398"/>
      <c r="H229" s="318">
        <v>3000000000</v>
      </c>
      <c r="I229" s="282"/>
      <c r="J229" s="318">
        <f>H229</f>
        <v>3000000000</v>
      </c>
      <c r="K229" s="409"/>
    </row>
    <row r="230" spans="1:11" s="269" customFormat="1" ht="15">
      <c r="A230" s="379"/>
      <c r="B230" s="332" t="s">
        <v>491</v>
      </c>
      <c r="C230" s="398"/>
      <c r="D230" s="407"/>
      <c r="E230" s="407"/>
      <c r="F230" s="398"/>
      <c r="G230" s="398"/>
      <c r="H230" s="318">
        <v>300000000</v>
      </c>
      <c r="I230" s="282"/>
      <c r="J230" s="318">
        <f>H230</f>
        <v>300000000</v>
      </c>
      <c r="K230" s="409"/>
    </row>
    <row r="231" spans="1:11" s="269" customFormat="1" ht="15">
      <c r="A231" s="379"/>
      <c r="B231" s="332" t="s">
        <v>716</v>
      </c>
      <c r="C231" s="398"/>
      <c r="D231" s="407"/>
      <c r="E231" s="407"/>
      <c r="F231" s="398"/>
      <c r="G231" s="398"/>
      <c r="H231" s="318">
        <f>10000000000-H229-H230</f>
        <v>6700000000</v>
      </c>
      <c r="I231" s="282"/>
      <c r="J231" s="318">
        <f>H231</f>
        <v>6700000000</v>
      </c>
      <c r="K231" s="409"/>
    </row>
    <row r="232" spans="1:11" s="269" customFormat="1" ht="15" customHeight="1">
      <c r="A232" s="379"/>
      <c r="B232" s="379"/>
      <c r="C232" s="398"/>
      <c r="F232" s="410"/>
      <c r="G232" s="410"/>
      <c r="H232" s="318"/>
      <c r="I232" s="282"/>
      <c r="J232" s="318"/>
      <c r="K232" s="411"/>
    </row>
    <row r="233" spans="2:11" s="270" customFormat="1" ht="15" customHeight="1" thickBot="1">
      <c r="B233" s="379" t="s">
        <v>398</v>
      </c>
      <c r="C233" s="394"/>
      <c r="F233" s="412"/>
      <c r="G233" s="412"/>
      <c r="H233" s="413">
        <f>SUM(H229:H232)</f>
        <v>10000000000</v>
      </c>
      <c r="I233" s="281"/>
      <c r="J233" s="413">
        <f>SUM(J229:J232)</f>
        <v>10000000000</v>
      </c>
      <c r="K233" s="414"/>
    </row>
    <row r="234" spans="1:11" s="269" customFormat="1" ht="11.25" customHeight="1" thickTop="1">
      <c r="A234" s="415"/>
      <c r="B234" s="416"/>
      <c r="C234" s="417"/>
      <c r="D234" s="288"/>
      <c r="E234" s="288"/>
      <c r="F234" s="411"/>
      <c r="G234" s="414"/>
      <c r="H234" s="411"/>
      <c r="I234" s="414"/>
      <c r="J234" s="411"/>
      <c r="K234" s="414"/>
    </row>
    <row r="235" spans="1:11" s="269" customFormat="1" ht="15" customHeight="1" hidden="1">
      <c r="A235" s="415"/>
      <c r="B235" s="416" t="s">
        <v>494</v>
      </c>
      <c r="C235" s="417"/>
      <c r="D235" s="288"/>
      <c r="E235" s="288"/>
      <c r="F235" s="411"/>
      <c r="G235" s="418"/>
      <c r="H235" s="419"/>
      <c r="I235" s="418"/>
      <c r="J235" s="420"/>
      <c r="K235" s="418"/>
    </row>
    <row r="236" spans="1:11" s="269" customFormat="1" ht="15" customHeight="1" hidden="1">
      <c r="A236" s="415"/>
      <c r="B236" s="416" t="s">
        <v>495</v>
      </c>
      <c r="C236" s="417"/>
      <c r="D236" s="288"/>
      <c r="E236" s="288"/>
      <c r="F236" s="411"/>
      <c r="G236" s="411"/>
      <c r="H236" s="411"/>
      <c r="I236" s="411"/>
      <c r="J236" s="411"/>
      <c r="K236" s="411"/>
    </row>
    <row r="237" spans="1:11" s="269" customFormat="1" ht="15" customHeight="1" hidden="1">
      <c r="A237" s="415"/>
      <c r="B237" s="421" t="s">
        <v>496</v>
      </c>
      <c r="C237" s="417"/>
      <c r="D237" s="288"/>
      <c r="E237" s="288"/>
      <c r="F237" s="411"/>
      <c r="G237" s="411"/>
      <c r="H237" s="411"/>
      <c r="I237" s="411"/>
      <c r="J237" s="411"/>
      <c r="K237" s="411"/>
    </row>
    <row r="238" spans="1:11" s="269" customFormat="1" ht="15" hidden="1">
      <c r="A238" s="415"/>
      <c r="B238" s="416"/>
      <c r="C238" s="417"/>
      <c r="D238" s="288"/>
      <c r="E238" s="288"/>
      <c r="F238" s="411"/>
      <c r="G238" s="411"/>
      <c r="H238" s="411"/>
      <c r="I238" s="411"/>
      <c r="J238" s="411"/>
      <c r="K238" s="411"/>
    </row>
    <row r="239" spans="1:11" s="270" customFormat="1" ht="15" customHeight="1" hidden="1">
      <c r="A239" s="415"/>
      <c r="B239" s="580" t="s">
        <v>497</v>
      </c>
      <c r="C239" s="415"/>
      <c r="D239" s="581" t="s">
        <v>498</v>
      </c>
      <c r="E239" s="581"/>
      <c r="F239" s="581"/>
      <c r="G239" s="415"/>
      <c r="H239" s="582" t="s">
        <v>499</v>
      </c>
      <c r="I239" s="582"/>
      <c r="J239" s="582"/>
      <c r="K239" s="582"/>
    </row>
    <row r="240" spans="1:11" s="312" customFormat="1" ht="15" customHeight="1" hidden="1">
      <c r="A240" s="422"/>
      <c r="B240" s="581"/>
      <c r="C240" s="423"/>
      <c r="D240" s="424" t="s">
        <v>500</v>
      </c>
      <c r="E240" s="422"/>
      <c r="F240" s="425" t="s">
        <v>501</v>
      </c>
      <c r="G240" s="426"/>
      <c r="H240" s="425" t="s">
        <v>500</v>
      </c>
      <c r="I240" s="426"/>
      <c r="J240" s="425" t="s">
        <v>501</v>
      </c>
      <c r="K240" s="426"/>
    </row>
    <row r="241" spans="1:11" s="269" customFormat="1" ht="15" customHeight="1" hidden="1">
      <c r="A241" s="415"/>
      <c r="B241" s="416"/>
      <c r="C241" s="417"/>
      <c r="D241" s="288"/>
      <c r="E241" s="288"/>
      <c r="F241" s="411"/>
      <c r="G241" s="411"/>
      <c r="H241" s="411"/>
      <c r="I241" s="411"/>
      <c r="J241" s="411"/>
      <c r="K241" s="411"/>
    </row>
    <row r="242" spans="1:11" s="269" customFormat="1" ht="15" hidden="1">
      <c r="A242" s="427"/>
      <c r="B242" s="416" t="s">
        <v>502</v>
      </c>
      <c r="C242" s="417"/>
      <c r="D242" s="288"/>
      <c r="E242" s="288"/>
      <c r="F242" s="411"/>
      <c r="G242" s="411"/>
      <c r="H242" s="411"/>
      <c r="I242" s="411"/>
      <c r="J242" s="411"/>
      <c r="K242" s="411"/>
    </row>
    <row r="243" spans="1:11" s="269" customFormat="1" ht="15" hidden="1">
      <c r="A243" s="427"/>
      <c r="B243" s="416" t="s">
        <v>503</v>
      </c>
      <c r="C243" s="417"/>
      <c r="D243" s="288"/>
      <c r="E243" s="288"/>
      <c r="F243" s="411"/>
      <c r="G243" s="411"/>
      <c r="H243" s="411"/>
      <c r="I243" s="411"/>
      <c r="J243" s="411"/>
      <c r="K243" s="411"/>
    </row>
    <row r="244" spans="1:11" s="269" customFormat="1" ht="15" hidden="1">
      <c r="A244" s="427"/>
      <c r="B244" s="416"/>
      <c r="C244" s="417"/>
      <c r="D244" s="288"/>
      <c r="E244" s="288"/>
      <c r="F244" s="411"/>
      <c r="G244" s="411"/>
      <c r="H244" s="411"/>
      <c r="I244" s="411"/>
      <c r="J244" s="411"/>
      <c r="K244" s="411"/>
    </row>
    <row r="245" spans="1:11" s="269" customFormat="1" ht="15.75" hidden="1" thickBot="1">
      <c r="A245" s="427"/>
      <c r="B245" s="427" t="s">
        <v>398</v>
      </c>
      <c r="C245" s="417"/>
      <c r="D245" s="428">
        <f>SUM(D242:D243)</f>
        <v>0</v>
      </c>
      <c r="E245" s="288"/>
      <c r="F245" s="428">
        <f>SUM(F242:F243)</f>
        <v>0</v>
      </c>
      <c r="G245" s="411"/>
      <c r="H245" s="428">
        <f>SUM(H242:H243)</f>
        <v>0</v>
      </c>
      <c r="I245" s="411"/>
      <c r="J245" s="428">
        <f>SUM(J242:J243)</f>
        <v>0</v>
      </c>
      <c r="K245" s="411"/>
    </row>
    <row r="246" spans="1:11" s="288" customFormat="1" ht="15" hidden="1">
      <c r="A246" s="427"/>
      <c r="B246" s="416"/>
      <c r="C246" s="417"/>
      <c r="F246" s="411"/>
      <c r="G246" s="411"/>
      <c r="H246" s="411"/>
      <c r="I246" s="411"/>
      <c r="J246" s="411"/>
      <c r="K246" s="411"/>
    </row>
    <row r="247" s="195" customFormat="1" ht="15">
      <c r="K247" s="221"/>
    </row>
    <row r="248" s="195" customFormat="1" ht="15">
      <c r="K248" s="221"/>
    </row>
    <row r="249" s="195" customFormat="1" ht="15">
      <c r="K249" s="221"/>
    </row>
    <row r="250" s="195" customFormat="1" ht="15">
      <c r="K250" s="221"/>
    </row>
    <row r="251" s="195" customFormat="1" ht="15">
      <c r="K251" s="221"/>
    </row>
    <row r="252" s="195" customFormat="1" ht="15">
      <c r="K252" s="221"/>
    </row>
    <row r="253" s="195" customFormat="1" ht="15">
      <c r="K253" s="221"/>
    </row>
    <row r="254" s="195" customFormat="1" ht="15">
      <c r="K254" s="221"/>
    </row>
    <row r="255" s="195" customFormat="1" ht="15">
      <c r="K255" s="221"/>
    </row>
    <row r="256" s="195" customFormat="1" ht="15">
      <c r="K256" s="221"/>
    </row>
    <row r="257" spans="1:11" s="195" customFormat="1" ht="15">
      <c r="A257" s="294" t="str">
        <f>LEFT($A$212,2)&amp;".3"</f>
        <v>12.3</v>
      </c>
      <c r="B257" s="214" t="s">
        <v>504</v>
      </c>
      <c r="C257" s="244"/>
      <c r="D257" s="309"/>
      <c r="E257" s="244"/>
      <c r="F257" s="309"/>
      <c r="G257" s="244"/>
      <c r="J257" s="429"/>
      <c r="K257" s="221"/>
    </row>
    <row r="258" spans="1:11" s="195" customFormat="1" ht="15">
      <c r="A258" s="294"/>
      <c r="B258" s="214"/>
      <c r="C258" s="244"/>
      <c r="D258" s="309"/>
      <c r="E258" s="244"/>
      <c r="F258" s="309"/>
      <c r="G258" s="244"/>
      <c r="H258" s="254">
        <v>39447</v>
      </c>
      <c r="I258" s="219"/>
      <c r="J258" s="254">
        <v>39356</v>
      </c>
      <c r="K258" s="221"/>
    </row>
    <row r="259" spans="1:11" s="195" customFormat="1" ht="14.25" customHeight="1">
      <c r="A259" s="311"/>
      <c r="B259" s="258"/>
      <c r="C259" s="258"/>
      <c r="D259" s="258"/>
      <c r="E259" s="258"/>
      <c r="F259" s="258"/>
      <c r="G259" s="216"/>
      <c r="H259" s="222" t="s">
        <v>389</v>
      </c>
      <c r="I259" s="303"/>
      <c r="J259" s="222" t="s">
        <v>389</v>
      </c>
      <c r="K259" s="221"/>
    </row>
    <row r="260" spans="1:11" s="195" customFormat="1" ht="15.75">
      <c r="A260" s="311"/>
      <c r="B260" s="258"/>
      <c r="C260" s="258"/>
      <c r="D260" s="258"/>
      <c r="E260" s="258"/>
      <c r="F260" s="258"/>
      <c r="G260" s="216"/>
      <c r="H260" s="276"/>
      <c r="I260" s="303"/>
      <c r="J260" s="276"/>
      <c r="K260" s="276"/>
    </row>
    <row r="261" spans="1:11" s="195" customFormat="1" ht="14.25" customHeight="1">
      <c r="A261" s="214"/>
      <c r="B261" s="195" t="s">
        <v>482</v>
      </c>
      <c r="C261" s="242"/>
      <c r="D261" s="242"/>
      <c r="E261" s="242"/>
      <c r="F261" s="242"/>
      <c r="G261" s="216"/>
      <c r="H261" s="78"/>
      <c r="I261" s="199"/>
      <c r="J261" s="78"/>
      <c r="K261" s="78"/>
    </row>
    <row r="262" spans="1:11" s="240" customFormat="1" ht="14.25" customHeight="1">
      <c r="A262" s="230"/>
      <c r="B262" s="261" t="s">
        <v>505</v>
      </c>
      <c r="C262" s="243"/>
      <c r="D262" s="243"/>
      <c r="E262" s="243"/>
      <c r="F262" s="243"/>
      <c r="G262" s="244"/>
      <c r="H262" s="430">
        <f>J265</f>
        <v>10000000000</v>
      </c>
      <c r="I262" s="237"/>
      <c r="J262" s="430">
        <f>D218</f>
        <v>10000000000</v>
      </c>
      <c r="K262" s="430"/>
    </row>
    <row r="263" spans="1:11" s="240" customFormat="1" ht="14.25" customHeight="1">
      <c r="A263" s="230"/>
      <c r="B263" s="261" t="s">
        <v>506</v>
      </c>
      <c r="C263" s="243"/>
      <c r="D263" s="243"/>
      <c r="E263" s="243"/>
      <c r="F263" s="243"/>
      <c r="G263" s="244"/>
      <c r="H263" s="318">
        <v>0</v>
      </c>
      <c r="I263" s="237"/>
      <c r="J263" s="318"/>
      <c r="K263" s="430"/>
    </row>
    <row r="264" spans="1:11" s="240" customFormat="1" ht="14.25" customHeight="1">
      <c r="A264" s="230"/>
      <c r="B264" s="261" t="s">
        <v>507</v>
      </c>
      <c r="C264" s="243"/>
      <c r="D264" s="243"/>
      <c r="E264" s="243"/>
      <c r="F264" s="243"/>
      <c r="G264" s="244"/>
      <c r="H264" s="318">
        <v>0</v>
      </c>
      <c r="I264" s="237"/>
      <c r="J264" s="318">
        <v>0</v>
      </c>
      <c r="K264" s="430"/>
    </row>
    <row r="265" spans="1:11" s="240" customFormat="1" ht="14.25" customHeight="1">
      <c r="A265" s="230"/>
      <c r="B265" s="431" t="s">
        <v>508</v>
      </c>
      <c r="C265" s="237"/>
      <c r="D265" s="237"/>
      <c r="E265" s="237"/>
      <c r="F265" s="430"/>
      <c r="G265" s="430"/>
      <c r="H265" s="430">
        <f>SUM(H262:H264)</f>
        <v>10000000000</v>
      </c>
      <c r="I265" s="237"/>
      <c r="J265" s="430">
        <f>SUM(J262:J264)</f>
        <v>10000000000</v>
      </c>
      <c r="K265" s="430"/>
    </row>
    <row r="266" spans="1:11" s="195" customFormat="1" ht="14.25" customHeight="1">
      <c r="A266" s="214"/>
      <c r="B266" s="432" t="s">
        <v>509</v>
      </c>
      <c r="C266" s="199"/>
      <c r="D266" s="199"/>
      <c r="E266" s="199"/>
      <c r="F266" s="78"/>
      <c r="G266" s="78"/>
      <c r="H266" s="318">
        <v>0</v>
      </c>
      <c r="I266" s="199"/>
      <c r="J266" s="318">
        <v>0</v>
      </c>
      <c r="K266" s="78"/>
    </row>
    <row r="267" spans="2:11" ht="14.25" customHeight="1">
      <c r="B267" s="433"/>
      <c r="C267" s="434"/>
      <c r="D267" s="434"/>
      <c r="E267" s="434"/>
      <c r="F267" s="435"/>
      <c r="G267" s="435"/>
      <c r="H267" s="435"/>
      <c r="I267" s="434"/>
      <c r="J267" s="435"/>
      <c r="K267" s="435"/>
    </row>
    <row r="268" spans="1:11" ht="14.25" customHeight="1" hidden="1">
      <c r="A268" s="289" t="str">
        <f>LEFT($A$212,2)&amp;".4"</f>
        <v>12.4</v>
      </c>
      <c r="B268" s="251" t="s">
        <v>510</v>
      </c>
      <c r="C268" s="434"/>
      <c r="D268" s="434"/>
      <c r="E268" s="434"/>
      <c r="F268" s="435"/>
      <c r="G268" s="435"/>
      <c r="H268" s="435"/>
      <c r="I268" s="434"/>
      <c r="J268" s="435"/>
      <c r="K268" s="435"/>
    </row>
    <row r="269" spans="2:11" ht="14.25" customHeight="1" hidden="1">
      <c r="B269" s="436" t="s">
        <v>511</v>
      </c>
      <c r="C269" s="434"/>
      <c r="D269" s="434"/>
      <c r="E269" s="434"/>
      <c r="F269" s="435"/>
      <c r="G269" s="435"/>
      <c r="H269" s="435"/>
      <c r="I269" s="434"/>
      <c r="J269" s="435"/>
      <c r="K269" s="435"/>
    </row>
    <row r="270" spans="1:11" s="378" customFormat="1" ht="14.25" customHeight="1" hidden="1">
      <c r="A270" s="363"/>
      <c r="B270" s="437" t="s">
        <v>512</v>
      </c>
      <c r="C270" s="438"/>
      <c r="D270" s="438"/>
      <c r="E270" s="438"/>
      <c r="F270" s="439"/>
      <c r="G270" s="439"/>
      <c r="H270" s="439"/>
      <c r="I270" s="438"/>
      <c r="J270" s="439"/>
      <c r="K270" s="439"/>
    </row>
    <row r="271" spans="1:11" s="378" customFormat="1" ht="14.25" customHeight="1" hidden="1">
      <c r="A271" s="363"/>
      <c r="B271" s="437" t="s">
        <v>513</v>
      </c>
      <c r="C271" s="438"/>
      <c r="D271" s="438"/>
      <c r="E271" s="438"/>
      <c r="F271" s="439"/>
      <c r="G271" s="439"/>
      <c r="H271" s="439"/>
      <c r="I271" s="438"/>
      <c r="J271" s="439"/>
      <c r="K271" s="439"/>
    </row>
    <row r="272" spans="2:11" ht="14.25" customHeight="1" hidden="1">
      <c r="B272" s="436" t="s">
        <v>514</v>
      </c>
      <c r="C272" s="434"/>
      <c r="D272" s="434"/>
      <c r="E272" s="434"/>
      <c r="F272" s="435"/>
      <c r="G272" s="435"/>
      <c r="H272" s="435"/>
      <c r="I272" s="434"/>
      <c r="J272" s="435"/>
      <c r="K272" s="435"/>
    </row>
    <row r="273" spans="2:11" ht="14.25" customHeight="1" hidden="1">
      <c r="B273" s="433"/>
      <c r="C273" s="434"/>
      <c r="D273" s="434"/>
      <c r="E273" s="434"/>
      <c r="F273" s="435"/>
      <c r="G273" s="435"/>
      <c r="H273" s="435"/>
      <c r="I273" s="434"/>
      <c r="J273" s="435"/>
      <c r="K273" s="435"/>
    </row>
    <row r="274" spans="1:11" ht="14.25" customHeight="1">
      <c r="A274" s="294" t="str">
        <f>LEFT($A$212,2)&amp;".5"</f>
        <v>12.5</v>
      </c>
      <c r="B274" s="214" t="s">
        <v>515</v>
      </c>
      <c r="C274" s="199"/>
      <c r="D274" s="199"/>
      <c r="E274" s="199"/>
      <c r="F274" s="78"/>
      <c r="G274" s="78"/>
      <c r="H274" s="78"/>
      <c r="I274" s="199"/>
      <c r="J274" s="78"/>
      <c r="K274" s="435"/>
    </row>
    <row r="275" spans="1:11" ht="14.25" customHeight="1">
      <c r="A275" s="214"/>
      <c r="B275" s="432" t="s">
        <v>516</v>
      </c>
      <c r="C275" s="199"/>
      <c r="D275" s="199"/>
      <c r="E275" s="199"/>
      <c r="F275" s="78" t="s">
        <v>517</v>
      </c>
      <c r="G275" s="78"/>
      <c r="H275" s="78"/>
      <c r="I275" s="199"/>
      <c r="J275" s="78"/>
      <c r="K275" s="435"/>
    </row>
    <row r="276" spans="1:11" ht="14.25" customHeight="1">
      <c r="A276" s="214"/>
      <c r="B276" s="432" t="s">
        <v>518</v>
      </c>
      <c r="C276" s="199"/>
      <c r="D276" s="199"/>
      <c r="E276" s="199"/>
      <c r="F276" s="78"/>
      <c r="G276" s="78"/>
      <c r="H276" s="78"/>
      <c r="I276" s="199"/>
      <c r="J276" s="78"/>
      <c r="K276" s="435"/>
    </row>
    <row r="277" spans="1:11" ht="14.25" customHeight="1">
      <c r="A277" s="230"/>
      <c r="B277" s="440" t="s">
        <v>519</v>
      </c>
      <c r="C277" s="199"/>
      <c r="D277" s="199"/>
      <c r="E277" s="199"/>
      <c r="F277" s="78" t="s">
        <v>517</v>
      </c>
      <c r="G277" s="78"/>
      <c r="H277" s="78"/>
      <c r="I277" s="199"/>
      <c r="J277" s="78"/>
      <c r="K277" s="435"/>
    </row>
    <row r="278" spans="1:11" ht="14.25" customHeight="1">
      <c r="A278" s="230"/>
      <c r="B278" s="440" t="s">
        <v>520</v>
      </c>
      <c r="C278" s="199"/>
      <c r="D278" s="199"/>
      <c r="E278" s="199"/>
      <c r="F278" s="78" t="s">
        <v>521</v>
      </c>
      <c r="G278" s="78"/>
      <c r="H278" s="78"/>
      <c r="I278" s="199"/>
      <c r="J278" s="78"/>
      <c r="K278" s="435"/>
    </row>
    <row r="279" spans="1:11" ht="14.25" customHeight="1">
      <c r="A279" s="214"/>
      <c r="B279" s="432" t="s">
        <v>522</v>
      </c>
      <c r="C279" s="199"/>
      <c r="D279" s="199"/>
      <c r="E279" s="199"/>
      <c r="F279" s="78"/>
      <c r="G279" s="78"/>
      <c r="H279" s="78"/>
      <c r="I279" s="199"/>
      <c r="J279" s="78"/>
      <c r="K279" s="435"/>
    </row>
    <row r="280" spans="1:11" ht="14.25" customHeight="1">
      <c r="A280" s="214"/>
      <c r="B280" s="440" t="s">
        <v>523</v>
      </c>
      <c r="C280" s="237"/>
      <c r="D280" s="237"/>
      <c r="E280" s="237"/>
      <c r="F280" s="78" t="s">
        <v>521</v>
      </c>
      <c r="G280" s="430"/>
      <c r="H280" s="430"/>
      <c r="I280" s="237"/>
      <c r="J280" s="430"/>
      <c r="K280" s="435"/>
    </row>
    <row r="281" spans="1:11" ht="14.25" customHeight="1">
      <c r="A281" s="214"/>
      <c r="B281" s="440" t="s">
        <v>520</v>
      </c>
      <c r="C281" s="237"/>
      <c r="D281" s="237"/>
      <c r="E281" s="237"/>
      <c r="F281" s="78" t="s">
        <v>521</v>
      </c>
      <c r="G281" s="430"/>
      <c r="H281" s="430"/>
      <c r="I281" s="237"/>
      <c r="J281" s="430"/>
      <c r="K281" s="435"/>
    </row>
    <row r="282" spans="1:11" ht="14.25" customHeight="1">
      <c r="A282" s="214"/>
      <c r="B282" s="432" t="s">
        <v>524</v>
      </c>
      <c r="C282" s="237"/>
      <c r="D282" s="237"/>
      <c r="E282" s="237"/>
      <c r="F282" s="430"/>
      <c r="G282" s="430"/>
      <c r="H282" s="430"/>
      <c r="I282" s="237"/>
      <c r="J282" s="430"/>
      <c r="K282" s="435"/>
    </row>
    <row r="283" spans="1:11" ht="14.25" customHeight="1">
      <c r="A283" s="214"/>
      <c r="B283" s="440" t="s">
        <v>523</v>
      </c>
      <c r="C283" s="237"/>
      <c r="D283" s="237"/>
      <c r="E283" s="237"/>
      <c r="F283" s="78" t="s">
        <v>517</v>
      </c>
      <c r="G283" s="430"/>
      <c r="H283" s="430"/>
      <c r="I283" s="237"/>
      <c r="J283" s="430"/>
      <c r="K283" s="435"/>
    </row>
    <row r="284" spans="1:11" ht="14.25" customHeight="1">
      <c r="A284" s="214"/>
      <c r="B284" s="440" t="s">
        <v>520</v>
      </c>
      <c r="C284" s="237"/>
      <c r="D284" s="237"/>
      <c r="E284" s="237"/>
      <c r="F284" s="78" t="s">
        <v>521</v>
      </c>
      <c r="G284" s="430"/>
      <c r="H284" s="430"/>
      <c r="I284" s="237"/>
      <c r="J284" s="430"/>
      <c r="K284" s="435"/>
    </row>
    <row r="285" spans="1:11" ht="14.25" customHeight="1">
      <c r="A285" s="214"/>
      <c r="B285" s="431"/>
      <c r="C285" s="237"/>
      <c r="D285" s="237"/>
      <c r="E285" s="237"/>
      <c r="F285" s="430"/>
      <c r="G285" s="430"/>
      <c r="H285" s="430"/>
      <c r="I285" s="237"/>
      <c r="J285" s="430"/>
      <c r="K285" s="435"/>
    </row>
    <row r="286" spans="1:11" ht="14.25" customHeight="1">
      <c r="A286" s="214"/>
      <c r="B286" s="441" t="s">
        <v>525</v>
      </c>
      <c r="C286" s="237"/>
      <c r="D286" s="237"/>
      <c r="E286" s="237"/>
      <c r="F286" s="430"/>
      <c r="G286" s="430"/>
      <c r="H286" s="430"/>
      <c r="I286" s="237"/>
      <c r="J286" s="430"/>
      <c r="K286" s="435"/>
    </row>
    <row r="287" spans="1:11" ht="14.25" customHeight="1">
      <c r="A287" s="214"/>
      <c r="B287" s="441" t="s">
        <v>526</v>
      </c>
      <c r="C287" s="237"/>
      <c r="D287" s="237"/>
      <c r="E287" s="237"/>
      <c r="F287" s="430"/>
      <c r="G287" s="430"/>
      <c r="H287" s="430"/>
      <c r="I287" s="237"/>
      <c r="J287" s="430"/>
      <c r="K287" s="435"/>
    </row>
    <row r="288" spans="1:11" s="269" customFormat="1" ht="15">
      <c r="A288" s="442" t="s">
        <v>527</v>
      </c>
      <c r="B288" s="583" t="s">
        <v>528</v>
      </c>
      <c r="C288" s="583"/>
      <c r="D288" s="583"/>
      <c r="E288" s="583"/>
      <c r="F288" s="583"/>
      <c r="G288" s="583"/>
      <c r="H288" s="583"/>
      <c r="I288" s="583"/>
      <c r="J288" s="583"/>
      <c r="K288" s="411"/>
    </row>
    <row r="289" spans="1:11" s="269" customFormat="1" ht="16.5">
      <c r="A289" s="442"/>
      <c r="B289" s="443"/>
      <c r="C289" s="443"/>
      <c r="D289" s="443"/>
      <c r="E289" s="443"/>
      <c r="F289" s="443"/>
      <c r="G289" s="443"/>
      <c r="H289" s="443"/>
      <c r="I289" s="443"/>
      <c r="J289" s="443"/>
      <c r="K289" s="411"/>
    </row>
    <row r="290" spans="1:11" s="269" customFormat="1" ht="15">
      <c r="A290" s="214" t="str">
        <f>LEFT(A212,2)+1&amp;"."</f>
        <v>13.</v>
      </c>
      <c r="B290" s="215" t="s">
        <v>529</v>
      </c>
      <c r="C290" s="199"/>
      <c r="D290" s="199"/>
      <c r="E290" s="199"/>
      <c r="F290" s="78"/>
      <c r="G290" s="78"/>
      <c r="H290" s="221" t="s">
        <v>735</v>
      </c>
      <c r="I290" s="195"/>
      <c r="J290" s="217">
        <v>39356</v>
      </c>
      <c r="K290" s="411"/>
    </row>
    <row r="291" spans="1:11" s="195" customFormat="1" ht="15">
      <c r="A291" s="214"/>
      <c r="C291" s="216"/>
      <c r="D291" s="221"/>
      <c r="E291" s="216"/>
      <c r="F291" s="221"/>
      <c r="G291" s="216"/>
      <c r="H291" s="222" t="s">
        <v>389</v>
      </c>
      <c r="I291" s="221" t="s">
        <v>389</v>
      </c>
      <c r="J291" s="222" t="s">
        <v>389</v>
      </c>
      <c r="K291" s="223"/>
    </row>
    <row r="292" spans="1:11" s="195" customFormat="1" ht="14.25">
      <c r="A292" s="242"/>
      <c r="B292" s="242"/>
      <c r="C292" s="242"/>
      <c r="D292" s="242"/>
      <c r="E292" s="242"/>
      <c r="F292" s="242"/>
      <c r="G292" s="216"/>
      <c r="H292" s="276"/>
      <c r="I292" s="234"/>
      <c r="J292" s="276"/>
      <c r="K292" s="228"/>
    </row>
    <row r="293" spans="1:11" s="195" customFormat="1" ht="15">
      <c r="A293" s="242"/>
      <c r="B293" s="199" t="s">
        <v>530</v>
      </c>
      <c r="C293" s="242"/>
      <c r="D293" s="242"/>
      <c r="E293" s="242"/>
      <c r="F293" s="242"/>
      <c r="G293" s="216"/>
      <c r="H293" s="226">
        <f>+SUM(H294:H297)</f>
        <v>214191391</v>
      </c>
      <c r="I293" s="309"/>
      <c r="J293" s="226">
        <f>+SUM(J294:J297)</f>
        <v>3212952444</v>
      </c>
      <c r="K293" s="228"/>
    </row>
    <row r="294" spans="1:11" s="195" customFormat="1" ht="15">
      <c r="A294" s="242"/>
      <c r="B294" s="237" t="s">
        <v>531</v>
      </c>
      <c r="C294" s="242"/>
      <c r="D294" s="242"/>
      <c r="E294" s="242"/>
      <c r="F294" s="242"/>
      <c r="G294" s="216"/>
      <c r="H294" s="260"/>
      <c r="I294" s="444"/>
      <c r="J294" s="260">
        <v>227215626</v>
      </c>
      <c r="K294" s="228"/>
    </row>
    <row r="295" spans="1:11" s="195" customFormat="1" ht="15">
      <c r="A295" s="242"/>
      <c r="B295" s="237" t="s">
        <v>532</v>
      </c>
      <c r="C295" s="243"/>
      <c r="D295" s="243"/>
      <c r="E295" s="243"/>
      <c r="F295" s="243"/>
      <c r="G295" s="244"/>
      <c r="H295" s="260">
        <f>50125598-1272726</f>
        <v>48852872</v>
      </c>
      <c r="I295" s="237"/>
      <c r="J295" s="260">
        <f>73654544-J297</f>
        <v>72290908</v>
      </c>
      <c r="K295" s="228"/>
    </row>
    <row r="296" spans="1:11" s="195" customFormat="1" ht="15">
      <c r="A296" s="242"/>
      <c r="B296" s="243" t="s">
        <v>533</v>
      </c>
      <c r="C296" s="242"/>
      <c r="D296" s="242"/>
      <c r="E296" s="242"/>
      <c r="F296" s="242"/>
      <c r="G296" s="216"/>
      <c r="H296" s="444">
        <f>228149486-62810967</f>
        <v>165338519</v>
      </c>
      <c r="I296" s="309"/>
      <c r="J296" s="444">
        <v>2912082274</v>
      </c>
      <c r="K296" s="228"/>
    </row>
    <row r="297" spans="1:11" s="195" customFormat="1" ht="20.25" customHeight="1">
      <c r="A297" s="242"/>
      <c r="B297" s="243" t="s">
        <v>534</v>
      </c>
      <c r="C297" s="242"/>
      <c r="D297" s="242"/>
      <c r="E297" s="242"/>
      <c r="F297" s="242"/>
      <c r="G297" s="216"/>
      <c r="H297" s="444">
        <v>0</v>
      </c>
      <c r="I297" s="309"/>
      <c r="J297" s="444">
        <f>1363636</f>
        <v>1363636</v>
      </c>
      <c r="K297" s="228"/>
    </row>
    <row r="298" spans="1:11" s="195" customFormat="1" ht="15" customHeight="1">
      <c r="A298" s="214"/>
      <c r="B298" s="199" t="s">
        <v>535</v>
      </c>
      <c r="C298" s="248"/>
      <c r="D298" s="221"/>
      <c r="E298" s="248"/>
      <c r="F298" s="221"/>
      <c r="G298" s="248"/>
      <c r="H298" s="445">
        <f>+SUM(H299:H301)</f>
        <v>2634451389</v>
      </c>
      <c r="I298" s="445"/>
      <c r="J298" s="445">
        <f>+SUM(J299:J301)</f>
        <v>1210473000</v>
      </c>
      <c r="K298" s="247"/>
    </row>
    <row r="299" spans="1:11" s="195" customFormat="1" ht="15" customHeight="1">
      <c r="A299" s="214"/>
      <c r="B299" s="446" t="s">
        <v>736</v>
      </c>
      <c r="C299" s="248"/>
      <c r="D299" s="221"/>
      <c r="E299" s="248"/>
      <c r="F299" s="221"/>
      <c r="G299" s="248"/>
      <c r="H299" s="299">
        <v>691000000</v>
      </c>
      <c r="I299" s="221"/>
      <c r="J299" s="299">
        <f>5000000+200000</f>
        <v>5200000</v>
      </c>
      <c r="K299" s="247"/>
    </row>
    <row r="300" spans="1:13" s="195" customFormat="1" ht="15" customHeight="1">
      <c r="A300" s="214"/>
      <c r="B300" s="446" t="s">
        <v>537</v>
      </c>
      <c r="C300" s="248"/>
      <c r="D300" s="221"/>
      <c r="E300" s="248"/>
      <c r="F300" s="221"/>
      <c r="G300" s="248"/>
      <c r="H300" s="309">
        <v>268400000</v>
      </c>
      <c r="I300" s="221"/>
      <c r="J300" s="309">
        <v>6180000</v>
      </c>
      <c r="K300" s="247"/>
      <c r="M300" s="447"/>
    </row>
    <row r="301" spans="1:13" s="195" customFormat="1" ht="15" customHeight="1">
      <c r="A301" s="214"/>
      <c r="B301" s="446" t="s">
        <v>538</v>
      </c>
      <c r="C301" s="248"/>
      <c r="D301" s="221"/>
      <c r="E301" s="248"/>
      <c r="F301" s="221"/>
      <c r="G301" s="248"/>
      <c r="H301" s="234">
        <v>1675051389</v>
      </c>
      <c r="I301" s="221"/>
      <c r="J301" s="234">
        <v>1199093000</v>
      </c>
      <c r="K301" s="247"/>
      <c r="M301" s="447">
        <v>2848642780</v>
      </c>
    </row>
    <row r="302" spans="1:13" s="195" customFormat="1" ht="15" customHeight="1">
      <c r="A302" s="214"/>
      <c r="B302" s="215" t="s">
        <v>398</v>
      </c>
      <c r="C302" s="248"/>
      <c r="D302" s="221"/>
      <c r="E302" s="248"/>
      <c r="F302" s="221"/>
      <c r="G302" s="248"/>
      <c r="H302" s="448">
        <f>+H298+H293</f>
        <v>2848642780</v>
      </c>
      <c r="I302" s="221"/>
      <c r="J302" s="448">
        <f>+J298+J293</f>
        <v>4423425444</v>
      </c>
      <c r="K302" s="247"/>
      <c r="M302" s="449"/>
    </row>
    <row r="303" spans="1:11" s="195" customFormat="1" ht="15" customHeight="1" hidden="1">
      <c r="A303" s="214" t="str">
        <f>LEFT(A290,2)+1&amp;"."</f>
        <v>14.</v>
      </c>
      <c r="B303" s="215" t="s">
        <v>539</v>
      </c>
      <c r="C303" s="242"/>
      <c r="D303" s="242"/>
      <c r="E303" s="242"/>
      <c r="F303" s="242"/>
      <c r="G303" s="216"/>
      <c r="H303" s="221" t="str">
        <f>H290</f>
        <v>Quý 4 n¨m 2007</v>
      </c>
      <c r="I303" s="234"/>
      <c r="J303" s="221">
        <f>J290</f>
        <v>39356</v>
      </c>
      <c r="K303" s="247"/>
    </row>
    <row r="304" spans="1:11" s="195" customFormat="1" ht="15" customHeight="1" hidden="1">
      <c r="A304" s="214"/>
      <c r="C304" s="216"/>
      <c r="D304" s="221"/>
      <c r="E304" s="216"/>
      <c r="F304" s="221"/>
      <c r="G304" s="216"/>
      <c r="H304" s="222" t="s">
        <v>389</v>
      </c>
      <c r="I304" s="221" t="s">
        <v>389</v>
      </c>
      <c r="J304" s="222" t="s">
        <v>389</v>
      </c>
      <c r="K304" s="223"/>
    </row>
    <row r="305" spans="3:11" s="195" customFormat="1" ht="14.25" hidden="1">
      <c r="C305" s="216"/>
      <c r="D305" s="234"/>
      <c r="E305" s="216"/>
      <c r="F305" s="234"/>
      <c r="G305" s="216"/>
      <c r="H305" s="276"/>
      <c r="I305" s="234"/>
      <c r="J305" s="276"/>
      <c r="K305" s="228"/>
    </row>
    <row r="306" spans="2:11" s="195" customFormat="1" ht="14.25" hidden="1">
      <c r="B306" s="195" t="s">
        <v>540</v>
      </c>
      <c r="C306" s="216"/>
      <c r="D306" s="234"/>
      <c r="E306" s="216"/>
      <c r="F306" s="234"/>
      <c r="G306" s="216"/>
      <c r="H306" s="276">
        <v>0</v>
      </c>
      <c r="I306" s="276"/>
      <c r="J306" s="276">
        <v>0</v>
      </c>
      <c r="K306" s="228"/>
    </row>
    <row r="307" spans="3:11" s="195" customFormat="1" ht="14.25" hidden="1">
      <c r="C307" s="216"/>
      <c r="D307" s="234"/>
      <c r="E307" s="216"/>
      <c r="F307" s="234"/>
      <c r="G307" s="216"/>
      <c r="H307" s="276"/>
      <c r="I307" s="276"/>
      <c r="J307" s="276"/>
      <c r="K307" s="228"/>
    </row>
    <row r="308" spans="2:11" s="195" customFormat="1" ht="14.25" hidden="1">
      <c r="B308" s="199" t="s">
        <v>531</v>
      </c>
      <c r="C308" s="216"/>
      <c r="D308" s="234"/>
      <c r="E308" s="216"/>
      <c r="F308" s="234"/>
      <c r="G308" s="216"/>
      <c r="H308" s="284">
        <v>0</v>
      </c>
      <c r="I308" s="284"/>
      <c r="J308" s="284">
        <v>0</v>
      </c>
      <c r="K308" s="228"/>
    </row>
    <row r="309" spans="2:11" s="195" customFormat="1" ht="15" customHeight="1" hidden="1">
      <c r="B309" s="199" t="s">
        <v>541</v>
      </c>
      <c r="C309" s="199"/>
      <c r="D309" s="199"/>
      <c r="E309" s="199"/>
      <c r="F309" s="78"/>
      <c r="G309" s="78"/>
      <c r="H309" s="450">
        <v>0</v>
      </c>
      <c r="I309" s="337"/>
      <c r="J309" s="450">
        <v>0</v>
      </c>
      <c r="K309" s="247"/>
    </row>
    <row r="310" spans="2:11" s="195" customFormat="1" ht="15" customHeight="1" hidden="1">
      <c r="B310" s="199" t="s">
        <v>542</v>
      </c>
      <c r="C310" s="199"/>
      <c r="D310" s="199"/>
      <c r="E310" s="199"/>
      <c r="F310" s="78"/>
      <c r="G310" s="78"/>
      <c r="H310" s="450"/>
      <c r="I310" s="337"/>
      <c r="J310" s="450"/>
      <c r="K310" s="247"/>
    </row>
    <row r="311" spans="2:11" s="195" customFormat="1" ht="15" customHeight="1" hidden="1">
      <c r="B311" s="199" t="s">
        <v>543</v>
      </c>
      <c r="C311" s="199"/>
      <c r="D311" s="199"/>
      <c r="E311" s="199"/>
      <c r="F311" s="78"/>
      <c r="G311" s="78"/>
      <c r="H311" s="450"/>
      <c r="I311" s="337"/>
      <c r="J311" s="450"/>
      <c r="K311" s="247"/>
    </row>
    <row r="312" spans="2:11" s="195" customFormat="1" ht="15" customHeight="1" hidden="1">
      <c r="B312" s="199" t="s">
        <v>544</v>
      </c>
      <c r="C312" s="199"/>
      <c r="D312" s="199"/>
      <c r="E312" s="199"/>
      <c r="F312" s="78"/>
      <c r="G312" s="78"/>
      <c r="H312" s="450"/>
      <c r="I312" s="337"/>
      <c r="J312" s="450"/>
      <c r="K312" s="247"/>
    </row>
    <row r="313" spans="2:11" s="195" customFormat="1" ht="15" customHeight="1" hidden="1">
      <c r="B313" s="199" t="s">
        <v>545</v>
      </c>
      <c r="C313" s="199"/>
      <c r="D313" s="199"/>
      <c r="E313" s="199"/>
      <c r="F313" s="78"/>
      <c r="G313" s="78"/>
      <c r="H313" s="450"/>
      <c r="I313" s="337"/>
      <c r="J313" s="450"/>
      <c r="K313" s="247"/>
    </row>
    <row r="314" spans="1:11" s="195" customFormat="1" ht="15" hidden="1">
      <c r="A314" s="214"/>
      <c r="C314" s="216"/>
      <c r="D314" s="234"/>
      <c r="E314" s="216"/>
      <c r="F314" s="234"/>
      <c r="G314" s="216"/>
      <c r="H314" s="284"/>
      <c r="I314" s="235"/>
      <c r="J314" s="284"/>
      <c r="K314" s="228"/>
    </row>
    <row r="315" spans="1:11" s="195" customFormat="1" ht="15" customHeight="1" hidden="1">
      <c r="A315" s="214"/>
      <c r="B315" s="215" t="s">
        <v>398</v>
      </c>
      <c r="C315" s="248"/>
      <c r="D315" s="221"/>
      <c r="E315" s="248"/>
      <c r="F315" s="221"/>
      <c r="G315" s="248"/>
      <c r="H315" s="249">
        <f>SUM(H308:H309)</f>
        <v>0</v>
      </c>
      <c r="I315" s="308"/>
      <c r="J315" s="249">
        <f>SUM(J308:J309)</f>
        <v>0</v>
      </c>
      <c r="K315" s="223"/>
    </row>
    <row r="316" spans="1:11" s="195" customFormat="1" ht="15" hidden="1">
      <c r="A316" s="214"/>
      <c r="C316" s="216"/>
      <c r="D316" s="234"/>
      <c r="E316" s="216"/>
      <c r="F316" s="234"/>
      <c r="G316" s="216"/>
      <c r="H316" s="303"/>
      <c r="I316" s="234"/>
      <c r="J316" s="276"/>
      <c r="K316" s="228"/>
    </row>
    <row r="317" spans="1:11" s="195" customFormat="1" ht="15">
      <c r="A317" s="214" t="str">
        <f>LEFT(A290,2)+1&amp;"."</f>
        <v>14.</v>
      </c>
      <c r="B317" s="215" t="s">
        <v>546</v>
      </c>
      <c r="C317" s="216"/>
      <c r="D317" s="234"/>
      <c r="E317" s="216"/>
      <c r="F317" s="234"/>
      <c r="G317" s="216"/>
      <c r="H317" s="221" t="s">
        <v>735</v>
      </c>
      <c r="J317" s="217">
        <v>39356</v>
      </c>
      <c r="K317" s="228"/>
    </row>
    <row r="318" spans="1:11" s="195" customFormat="1" ht="15">
      <c r="A318" s="214"/>
      <c r="C318" s="216"/>
      <c r="D318" s="221"/>
      <c r="E318" s="216"/>
      <c r="F318" s="221"/>
      <c r="G318" s="216"/>
      <c r="H318" s="222" t="s">
        <v>389</v>
      </c>
      <c r="I318" s="221"/>
      <c r="J318" s="222" t="s">
        <v>389</v>
      </c>
      <c r="K318" s="223"/>
    </row>
    <row r="319" spans="1:11" s="195" customFormat="1" ht="15">
      <c r="A319" s="214"/>
      <c r="C319" s="216"/>
      <c r="D319" s="234"/>
      <c r="E319" s="216"/>
      <c r="F319" s="234"/>
      <c r="G319" s="216"/>
      <c r="H319" s="276"/>
      <c r="I319" s="234"/>
      <c r="J319" s="276"/>
      <c r="K319" s="228"/>
    </row>
    <row r="320" spans="1:11" s="195" customFormat="1" ht="15">
      <c r="A320" s="214"/>
      <c r="B320" s="199" t="s">
        <v>530</v>
      </c>
      <c r="C320" s="242"/>
      <c r="D320" s="242"/>
      <c r="E320" s="242"/>
      <c r="F320" s="242"/>
      <c r="G320" s="216"/>
      <c r="H320" s="226">
        <f>SUM(H321:H324)</f>
        <v>214191391</v>
      </c>
      <c r="I320" s="309"/>
      <c r="J320" s="226">
        <f>+SUM(J321:J323)</f>
        <v>3212952444</v>
      </c>
      <c r="K320" s="228"/>
    </row>
    <row r="321" spans="1:11" s="195" customFormat="1" ht="15">
      <c r="A321" s="214"/>
      <c r="B321" s="237" t="s">
        <v>531</v>
      </c>
      <c r="C321" s="242"/>
      <c r="D321" s="242"/>
      <c r="E321" s="242"/>
      <c r="F321" s="242"/>
      <c r="G321" s="216"/>
      <c r="H321" s="260"/>
      <c r="I321" s="444"/>
      <c r="J321" s="260">
        <v>227215626</v>
      </c>
      <c r="K321" s="228"/>
    </row>
    <row r="322" spans="1:11" s="195" customFormat="1" ht="15">
      <c r="A322" s="214"/>
      <c r="B322" s="237" t="s">
        <v>532</v>
      </c>
      <c r="C322" s="243"/>
      <c r="D322" s="243"/>
      <c r="E322" s="243"/>
      <c r="F322" s="243"/>
      <c r="G322" s="244"/>
      <c r="H322" s="260">
        <f>H295</f>
        <v>48852872</v>
      </c>
      <c r="I322" s="237"/>
      <c r="J322" s="260">
        <f>73654544</f>
        <v>73654544</v>
      </c>
      <c r="K322" s="228"/>
    </row>
    <row r="323" spans="1:11" s="195" customFormat="1" ht="15">
      <c r="A323" s="214"/>
      <c r="B323" s="243" t="s">
        <v>533</v>
      </c>
      <c r="C323" s="242"/>
      <c r="D323" s="242"/>
      <c r="E323" s="242"/>
      <c r="F323" s="242"/>
      <c r="G323" s="216"/>
      <c r="H323" s="444">
        <f>H296</f>
        <v>165338519</v>
      </c>
      <c r="I323" s="309"/>
      <c r="J323" s="444">
        <v>2912082274</v>
      </c>
      <c r="K323" s="228"/>
    </row>
    <row r="324" spans="1:11" s="195" customFormat="1" ht="15">
      <c r="A324" s="214"/>
      <c r="B324" s="243" t="s">
        <v>534</v>
      </c>
      <c r="C324" s="242"/>
      <c r="D324" s="242"/>
      <c r="E324" s="242"/>
      <c r="F324" s="242"/>
      <c r="G324" s="216"/>
      <c r="H324" s="444">
        <f>H297</f>
        <v>0</v>
      </c>
      <c r="I324" s="309"/>
      <c r="J324" s="444"/>
      <c r="K324" s="228"/>
    </row>
    <row r="325" spans="1:11" s="195" customFormat="1" ht="15">
      <c r="A325" s="214"/>
      <c r="B325" s="199" t="s">
        <v>535</v>
      </c>
      <c r="C325" s="248"/>
      <c r="D325" s="221"/>
      <c r="E325" s="248"/>
      <c r="F325" s="221"/>
      <c r="G325" s="248"/>
      <c r="H325" s="445">
        <f>+SUM(H326:H328)</f>
        <v>2634451389</v>
      </c>
      <c r="I325" s="445"/>
      <c r="J325" s="445">
        <f>+SUM(J326:J328)</f>
        <v>1210473000</v>
      </c>
      <c r="K325" s="228"/>
    </row>
    <row r="326" spans="1:11" s="195" customFormat="1" ht="15">
      <c r="A326" s="214"/>
      <c r="B326" s="446" t="s">
        <v>536</v>
      </c>
      <c r="C326" s="248"/>
      <c r="D326" s="221"/>
      <c r="E326" s="248"/>
      <c r="F326" s="221"/>
      <c r="G326" s="248"/>
      <c r="H326" s="299">
        <f>H299</f>
        <v>691000000</v>
      </c>
      <c r="I326" s="221"/>
      <c r="J326" s="309">
        <v>5200000</v>
      </c>
      <c r="K326" s="228"/>
    </row>
    <row r="327" spans="1:11" s="195" customFormat="1" ht="15">
      <c r="A327" s="214"/>
      <c r="B327" s="446" t="s">
        <v>537</v>
      </c>
      <c r="C327" s="248"/>
      <c r="D327" s="221"/>
      <c r="E327" s="248"/>
      <c r="F327" s="221"/>
      <c r="G327" s="248"/>
      <c r="H327" s="309">
        <f>H300</f>
        <v>268400000</v>
      </c>
      <c r="I327" s="221"/>
      <c r="J327" s="309">
        <v>6180000</v>
      </c>
      <c r="K327" s="228"/>
    </row>
    <row r="328" spans="1:11" s="195" customFormat="1" ht="15">
      <c r="A328" s="214"/>
      <c r="B328" s="446" t="s">
        <v>538</v>
      </c>
      <c r="C328" s="248"/>
      <c r="D328" s="221"/>
      <c r="E328" s="248"/>
      <c r="F328" s="221"/>
      <c r="G328" s="248"/>
      <c r="H328" s="234">
        <f>H301</f>
        <v>1675051389</v>
      </c>
      <c r="I328" s="221"/>
      <c r="J328" s="234">
        <v>1199093000</v>
      </c>
      <c r="K328" s="228"/>
    </row>
    <row r="329" spans="1:11" s="195" customFormat="1" ht="15">
      <c r="A329" s="214"/>
      <c r="B329" s="215" t="s">
        <v>398</v>
      </c>
      <c r="C329" s="248"/>
      <c r="D329" s="221"/>
      <c r="E329" s="248"/>
      <c r="F329" s="221"/>
      <c r="G329" s="248"/>
      <c r="H329" s="448">
        <f>+H325+H320</f>
        <v>2848642780</v>
      </c>
      <c r="I329" s="221"/>
      <c r="J329" s="448">
        <f>+J325+J320</f>
        <v>4423425444</v>
      </c>
      <c r="K329" s="228"/>
    </row>
    <row r="330" spans="1:11" s="195" customFormat="1" ht="15">
      <c r="A330" s="214"/>
      <c r="B330" s="215"/>
      <c r="C330" s="248"/>
      <c r="D330" s="221"/>
      <c r="E330" s="248"/>
      <c r="F330" s="221"/>
      <c r="G330" s="248"/>
      <c r="H330" s="448"/>
      <c r="I330" s="221"/>
      <c r="J330" s="448"/>
      <c r="K330" s="228"/>
    </row>
    <row r="331" spans="1:11" s="195" customFormat="1" ht="15">
      <c r="A331" s="214"/>
      <c r="B331" s="215"/>
      <c r="C331" s="248"/>
      <c r="D331" s="221"/>
      <c r="E331" s="248"/>
      <c r="F331" s="221"/>
      <c r="G331" s="248"/>
      <c r="H331" s="448"/>
      <c r="I331" s="221"/>
      <c r="J331" s="448"/>
      <c r="K331" s="228"/>
    </row>
    <row r="332" spans="1:11" s="195" customFormat="1" ht="15">
      <c r="A332" s="214"/>
      <c r="B332" s="215"/>
      <c r="C332" s="248"/>
      <c r="D332" s="221"/>
      <c r="E332" s="248"/>
      <c r="F332" s="221"/>
      <c r="G332" s="248"/>
      <c r="H332" s="448"/>
      <c r="I332" s="221"/>
      <c r="J332" s="448"/>
      <c r="K332" s="228"/>
    </row>
    <row r="333" spans="1:11" s="195" customFormat="1" ht="15">
      <c r="A333" s="214"/>
      <c r="B333" s="215"/>
      <c r="C333" s="248"/>
      <c r="D333" s="221"/>
      <c r="E333" s="248"/>
      <c r="F333" s="221"/>
      <c r="G333" s="248"/>
      <c r="H333" s="448"/>
      <c r="I333" s="221"/>
      <c r="J333" s="448"/>
      <c r="K333" s="228"/>
    </row>
    <row r="334" spans="1:11" s="195" customFormat="1" ht="15" customHeight="1">
      <c r="A334" s="214" t="str">
        <f>LEFT(A317,2)+1&amp;"."</f>
        <v>15.</v>
      </c>
      <c r="B334" s="215" t="s">
        <v>547</v>
      </c>
      <c r="C334" s="216"/>
      <c r="D334" s="234"/>
      <c r="E334" s="216"/>
      <c r="F334" s="234"/>
      <c r="G334" s="216"/>
      <c r="H334" s="221" t="str">
        <f>H317</f>
        <v>Quý 4 n¨m 2007</v>
      </c>
      <c r="I334" s="234"/>
      <c r="J334" s="217">
        <v>39356</v>
      </c>
      <c r="K334" s="228"/>
    </row>
    <row r="335" spans="1:11" s="195" customFormat="1" ht="15">
      <c r="A335" s="214"/>
      <c r="C335" s="216"/>
      <c r="D335" s="221"/>
      <c r="E335" s="216"/>
      <c r="F335" s="221"/>
      <c r="G335" s="216"/>
      <c r="H335" s="222" t="s">
        <v>389</v>
      </c>
      <c r="I335" s="221"/>
      <c r="J335" s="222" t="s">
        <v>389</v>
      </c>
      <c r="K335" s="223"/>
    </row>
    <row r="336" spans="1:11" s="195" customFormat="1" ht="15">
      <c r="A336" s="214"/>
      <c r="C336" s="216"/>
      <c r="D336" s="234"/>
      <c r="E336" s="216"/>
      <c r="F336" s="234"/>
      <c r="G336" s="216"/>
      <c r="H336" s="276"/>
      <c r="I336" s="234"/>
      <c r="J336" s="276"/>
      <c r="K336" s="228"/>
    </row>
    <row r="337" spans="1:11" s="195" customFormat="1" ht="15">
      <c r="A337" s="214"/>
      <c r="C337" s="216"/>
      <c r="D337" s="234"/>
      <c r="E337" s="216"/>
      <c r="F337" s="234"/>
      <c r="G337" s="216"/>
      <c r="H337" s="276"/>
      <c r="I337" s="234"/>
      <c r="J337" s="276"/>
      <c r="K337" s="228"/>
    </row>
    <row r="338" spans="1:11" s="195" customFormat="1" ht="15">
      <c r="A338" s="214"/>
      <c r="B338" s="199" t="s">
        <v>548</v>
      </c>
      <c r="C338" s="242"/>
      <c r="D338" s="242"/>
      <c r="E338" s="242"/>
      <c r="F338" s="242"/>
      <c r="G338" s="216"/>
      <c r="H338" s="226">
        <f>+SUM(H339:H342)</f>
        <v>206208687</v>
      </c>
      <c r="I338" s="309"/>
      <c r="J338" s="226">
        <f>+SUM(J339:J342)</f>
        <v>1391101537</v>
      </c>
      <c r="K338" s="228"/>
    </row>
    <row r="339" spans="1:11" s="195" customFormat="1" ht="15">
      <c r="A339" s="214"/>
      <c r="B339" s="237" t="s">
        <v>549</v>
      </c>
      <c r="C339" s="242"/>
      <c r="D339" s="242"/>
      <c r="E339" s="242"/>
      <c r="F339" s="242"/>
      <c r="G339" s="216"/>
      <c r="H339" s="260"/>
      <c r="I339" s="444"/>
      <c r="J339" s="260">
        <f>+J321</f>
        <v>227215626</v>
      </c>
      <c r="K339" s="228"/>
    </row>
    <row r="340" spans="1:11" s="195" customFormat="1" ht="15">
      <c r="A340" s="214"/>
      <c r="B340" s="237" t="s">
        <v>550</v>
      </c>
      <c r="C340" s="243"/>
      <c r="D340" s="243"/>
      <c r="E340" s="243"/>
      <c r="F340" s="243"/>
      <c r="G340" s="244"/>
      <c r="H340" s="260"/>
      <c r="I340" s="237"/>
      <c r="J340" s="260">
        <f>49909923-J346</f>
        <v>21006265</v>
      </c>
      <c r="K340" s="228"/>
    </row>
    <row r="341" spans="1:11" s="195" customFormat="1" ht="15">
      <c r="A341" s="214"/>
      <c r="B341" s="243" t="s">
        <v>551</v>
      </c>
      <c r="C341" s="242"/>
      <c r="D341" s="242"/>
      <c r="E341" s="242"/>
      <c r="F341" s="242"/>
      <c r="G341" s="216"/>
      <c r="H341" s="444">
        <f>428751073-222542386</f>
        <v>206208687</v>
      </c>
      <c r="I341" s="309"/>
      <c r="J341" s="444">
        <v>1142879646</v>
      </c>
      <c r="K341" s="228"/>
    </row>
    <row r="342" spans="1:11" s="195" customFormat="1" ht="15">
      <c r="A342" s="214"/>
      <c r="B342" s="243" t="s">
        <v>552</v>
      </c>
      <c r="C342" s="242"/>
      <c r="D342" s="242"/>
      <c r="E342" s="242"/>
      <c r="F342" s="242"/>
      <c r="G342" s="216"/>
      <c r="H342" s="444"/>
      <c r="I342" s="309"/>
      <c r="J342" s="444"/>
      <c r="K342" s="228"/>
    </row>
    <row r="343" spans="1:11" s="195" customFormat="1" ht="15">
      <c r="A343" s="214"/>
      <c r="B343" s="199" t="s">
        <v>553</v>
      </c>
      <c r="C343" s="248"/>
      <c r="D343" s="221"/>
      <c r="E343" s="248"/>
      <c r="F343" s="221"/>
      <c r="G343" s="248"/>
      <c r="H343" s="445">
        <f>+SUM(H344:H346)</f>
        <v>102215186</v>
      </c>
      <c r="I343" s="445"/>
      <c r="J343" s="445">
        <f>+SUM(J344:J346)</f>
        <v>30259461</v>
      </c>
      <c r="K343" s="228"/>
    </row>
    <row r="344" spans="1:11" s="195" customFormat="1" ht="15">
      <c r="A344" s="214"/>
      <c r="B344" s="446" t="s">
        <v>554</v>
      </c>
      <c r="C344" s="248"/>
      <c r="D344" s="221"/>
      <c r="E344" s="248"/>
      <c r="F344" s="221"/>
      <c r="G344" s="248"/>
      <c r="H344" s="309"/>
      <c r="I344" s="221"/>
      <c r="J344" s="309"/>
      <c r="K344" s="228"/>
    </row>
    <row r="345" spans="1:11" s="195" customFormat="1" ht="15">
      <c r="A345" s="214"/>
      <c r="B345" s="446" t="s">
        <v>555</v>
      </c>
      <c r="C345" s="248"/>
      <c r="D345" s="221"/>
      <c r="E345" s="248"/>
      <c r="F345" s="221"/>
      <c r="G345" s="248"/>
      <c r="H345" s="309"/>
      <c r="I345" s="221"/>
      <c r="J345" s="309">
        <v>1355803</v>
      </c>
      <c r="K345" s="228"/>
    </row>
    <row r="346" spans="1:11" s="195" customFormat="1" ht="15">
      <c r="A346" s="214"/>
      <c r="B346" s="446" t="s">
        <v>556</v>
      </c>
      <c r="C346" s="248"/>
      <c r="D346" s="221"/>
      <c r="E346" s="248"/>
      <c r="F346" s="221"/>
      <c r="G346" s="248"/>
      <c r="H346" s="309">
        <v>102215186</v>
      </c>
      <c r="I346" s="221"/>
      <c r="J346" s="309">
        <f>28903658</f>
        <v>28903658</v>
      </c>
      <c r="K346" s="228"/>
    </row>
    <row r="347" spans="1:11" s="195" customFormat="1" ht="15">
      <c r="A347" s="214"/>
      <c r="B347" s="215" t="s">
        <v>398</v>
      </c>
      <c r="C347" s="248"/>
      <c r="D347" s="221"/>
      <c r="E347" s="248"/>
      <c r="F347" s="221"/>
      <c r="G347" s="248"/>
      <c r="H347" s="448">
        <f>+H343+H338</f>
        <v>308423873</v>
      </c>
      <c r="I347" s="221"/>
      <c r="J347" s="448">
        <f>+J343+J338</f>
        <v>1421360998</v>
      </c>
      <c r="K347" s="228"/>
    </row>
    <row r="348" spans="1:11" s="195" customFormat="1" ht="15">
      <c r="A348" s="214"/>
      <c r="C348" s="216"/>
      <c r="D348" s="234"/>
      <c r="E348" s="216"/>
      <c r="F348" s="234"/>
      <c r="G348" s="216"/>
      <c r="H348" s="276"/>
      <c r="I348" s="234"/>
      <c r="J348" s="276"/>
      <c r="K348" s="228"/>
    </row>
    <row r="349" spans="8:9" ht="15">
      <c r="H349" s="228"/>
      <c r="I349" s="247"/>
    </row>
    <row r="350" spans="1:11" s="195" customFormat="1" ht="15" customHeight="1">
      <c r="A350" s="214" t="str">
        <f>LEFT(A334,2)+1&amp;"."</f>
        <v>16.</v>
      </c>
      <c r="B350" s="215" t="s">
        <v>557</v>
      </c>
      <c r="C350" s="216"/>
      <c r="D350" s="234"/>
      <c r="E350" s="216"/>
      <c r="F350" s="234"/>
      <c r="G350" s="216"/>
      <c r="H350" s="221" t="str">
        <f>H334</f>
        <v>Quý 4 n¨m 2007</v>
      </c>
      <c r="I350" s="234"/>
      <c r="J350" s="217">
        <v>39356</v>
      </c>
      <c r="K350" s="228"/>
    </row>
    <row r="351" spans="1:11" s="195" customFormat="1" ht="12.75" customHeight="1">
      <c r="A351" s="214"/>
      <c r="C351" s="216"/>
      <c r="D351" s="221"/>
      <c r="E351" s="216"/>
      <c r="F351" s="221"/>
      <c r="G351" s="216"/>
      <c r="H351" s="222" t="s">
        <v>389</v>
      </c>
      <c r="I351" s="221"/>
      <c r="J351" s="222" t="s">
        <v>389</v>
      </c>
      <c r="K351" s="223"/>
    </row>
    <row r="352" spans="1:11" s="195" customFormat="1" ht="15">
      <c r="A352" s="214"/>
      <c r="C352" s="216"/>
      <c r="D352" s="234"/>
      <c r="E352" s="216"/>
      <c r="F352" s="234"/>
      <c r="G352" s="216"/>
      <c r="H352" s="276"/>
      <c r="I352" s="234"/>
      <c r="J352" s="276"/>
      <c r="K352" s="228"/>
    </row>
    <row r="353" spans="2:11" s="195" customFormat="1" ht="14.25">
      <c r="B353" s="195" t="s">
        <v>558</v>
      </c>
      <c r="C353" s="216"/>
      <c r="D353" s="234"/>
      <c r="E353" s="216"/>
      <c r="F353" s="234"/>
      <c r="G353" s="216"/>
      <c r="H353" s="450">
        <v>231308322</v>
      </c>
      <c r="I353" s="337"/>
      <c r="J353" s="450">
        <v>214864766</v>
      </c>
      <c r="K353" s="228"/>
    </row>
    <row r="354" spans="2:11" s="195" customFormat="1" ht="14.25" hidden="1">
      <c r="B354" s="195" t="s">
        <v>559</v>
      </c>
      <c r="C354" s="216"/>
      <c r="D354" s="234"/>
      <c r="E354" s="216"/>
      <c r="F354" s="234"/>
      <c r="G354" s="216"/>
      <c r="H354" s="450"/>
      <c r="I354" s="337"/>
      <c r="J354" s="450"/>
      <c r="K354" s="228"/>
    </row>
    <row r="355" spans="2:11" s="195" customFormat="1" ht="14.25" hidden="1">
      <c r="B355" s="195" t="s">
        <v>560</v>
      </c>
      <c r="C355" s="216"/>
      <c r="D355" s="234"/>
      <c r="E355" s="216"/>
      <c r="F355" s="234"/>
      <c r="G355" s="216"/>
      <c r="H355" s="450"/>
      <c r="I355" s="337"/>
      <c r="J355" s="450"/>
      <c r="K355" s="228"/>
    </row>
    <row r="356" spans="2:11" s="195" customFormat="1" ht="14.25" hidden="1">
      <c r="B356" s="195" t="s">
        <v>561</v>
      </c>
      <c r="C356" s="216"/>
      <c r="D356" s="234"/>
      <c r="E356" s="216"/>
      <c r="F356" s="234"/>
      <c r="G356" s="216"/>
      <c r="H356" s="450"/>
      <c r="I356" s="337"/>
      <c r="J356" s="450"/>
      <c r="K356" s="228"/>
    </row>
    <row r="357" spans="2:11" s="195" customFormat="1" ht="14.25" hidden="1">
      <c r="B357" s="195" t="s">
        <v>562</v>
      </c>
      <c r="C357" s="216"/>
      <c r="D357" s="234"/>
      <c r="E357" s="216"/>
      <c r="F357" s="234"/>
      <c r="G357" s="216"/>
      <c r="H357" s="450"/>
      <c r="I357" s="337"/>
      <c r="J357" s="450"/>
      <c r="K357" s="228"/>
    </row>
    <row r="358" spans="1:11" s="195" customFormat="1" ht="15">
      <c r="A358" s="214"/>
      <c r="C358" s="216"/>
      <c r="D358" s="234"/>
      <c r="E358" s="216"/>
      <c r="F358" s="234"/>
      <c r="G358" s="216"/>
      <c r="H358" s="284"/>
      <c r="I358" s="235"/>
      <c r="J358" s="284"/>
      <c r="K358" s="228"/>
    </row>
    <row r="359" spans="1:11" s="195" customFormat="1" ht="15" customHeight="1" thickBot="1">
      <c r="A359" s="214"/>
      <c r="B359" s="451" t="s">
        <v>398</v>
      </c>
      <c r="C359" s="216"/>
      <c r="D359" s="221"/>
      <c r="E359" s="216"/>
      <c r="F359" s="221"/>
      <c r="G359" s="216"/>
      <c r="H359" s="249">
        <f>SUM(H353:H358)</f>
        <v>231308322</v>
      </c>
      <c r="I359" s="308"/>
      <c r="J359" s="249">
        <f>SUM(J353:J358)</f>
        <v>214864766</v>
      </c>
      <c r="K359" s="223"/>
    </row>
    <row r="360" spans="1:10" ht="15" customHeight="1" thickTop="1">
      <c r="A360" s="214"/>
      <c r="B360" s="195"/>
      <c r="C360" s="216"/>
      <c r="D360" s="234"/>
      <c r="E360" s="216"/>
      <c r="F360" s="234"/>
      <c r="G360" s="216"/>
      <c r="H360" s="276"/>
      <c r="I360" s="234"/>
      <c r="J360" s="276"/>
    </row>
    <row r="361" spans="1:11" s="195" customFormat="1" ht="15" customHeight="1">
      <c r="A361" s="214" t="str">
        <f>LEFT(A350,2)+1&amp;"."</f>
        <v>17.</v>
      </c>
      <c r="B361" s="215" t="s">
        <v>563</v>
      </c>
      <c r="C361" s="216"/>
      <c r="D361" s="234"/>
      <c r="E361" s="216"/>
      <c r="F361" s="234"/>
      <c r="G361" s="216"/>
      <c r="H361" s="221" t="str">
        <f>H350</f>
        <v>Quý 4 n¨m 2007</v>
      </c>
      <c r="I361" s="234"/>
      <c r="J361" s="217">
        <v>39356</v>
      </c>
      <c r="K361" s="228"/>
    </row>
    <row r="362" spans="1:11" s="195" customFormat="1" ht="15" customHeight="1">
      <c r="A362" s="214"/>
      <c r="C362" s="216"/>
      <c r="D362" s="221"/>
      <c r="E362" s="216"/>
      <c r="F362" s="221"/>
      <c r="G362" s="216"/>
      <c r="H362" s="222" t="s">
        <v>389</v>
      </c>
      <c r="I362" s="221"/>
      <c r="J362" s="222" t="s">
        <v>389</v>
      </c>
      <c r="K362" s="228"/>
    </row>
    <row r="363" spans="1:11" s="195" customFormat="1" ht="15">
      <c r="A363" s="214"/>
      <c r="C363" s="216"/>
      <c r="D363" s="234"/>
      <c r="E363" s="216"/>
      <c r="F363" s="234"/>
      <c r="G363" s="216"/>
      <c r="H363" s="276"/>
      <c r="I363" s="303"/>
      <c r="J363" s="276"/>
      <c r="K363" s="228"/>
    </row>
    <row r="364" spans="1:11" s="195" customFormat="1" ht="15" customHeight="1">
      <c r="A364" s="214"/>
      <c r="B364" s="195" t="s">
        <v>564</v>
      </c>
      <c r="C364" s="216"/>
      <c r="D364" s="234"/>
      <c r="E364" s="216"/>
      <c r="F364" s="234"/>
      <c r="G364" s="216"/>
      <c r="H364" s="284">
        <v>7341633</v>
      </c>
      <c r="I364" s="241"/>
      <c r="J364" s="450">
        <v>239385146</v>
      </c>
      <c r="K364" s="228"/>
    </row>
    <row r="365" spans="2:11" s="195" customFormat="1" ht="15" customHeight="1" hidden="1">
      <c r="B365" s="199" t="s">
        <v>565</v>
      </c>
      <c r="C365" s="199"/>
      <c r="D365" s="199"/>
      <c r="E365" s="199"/>
      <c r="F365" s="78"/>
      <c r="G365" s="78"/>
      <c r="H365" s="450"/>
      <c r="I365" s="337"/>
      <c r="J365" s="450"/>
      <c r="K365" s="228"/>
    </row>
    <row r="366" spans="2:11" s="195" customFormat="1" ht="15" customHeight="1" hidden="1">
      <c r="B366" s="199" t="s">
        <v>566</v>
      </c>
      <c r="C366" s="199"/>
      <c r="D366" s="199"/>
      <c r="E366" s="199"/>
      <c r="F366" s="78"/>
      <c r="G366" s="78"/>
      <c r="H366" s="450"/>
      <c r="I366" s="337"/>
      <c r="J366" s="450"/>
      <c r="K366" s="228"/>
    </row>
    <row r="367" spans="1:11" s="195" customFormat="1" ht="15">
      <c r="A367" s="214"/>
      <c r="C367" s="216"/>
      <c r="D367" s="234"/>
      <c r="E367" s="216"/>
      <c r="F367" s="234"/>
      <c r="G367" s="216"/>
      <c r="H367" s="284"/>
      <c r="I367" s="241"/>
      <c r="J367" s="284"/>
      <c r="K367" s="228"/>
    </row>
    <row r="368" spans="1:11" s="195" customFormat="1" ht="15" customHeight="1" thickBot="1">
      <c r="A368" s="214"/>
      <c r="B368" s="215" t="s">
        <v>398</v>
      </c>
      <c r="C368" s="248"/>
      <c r="D368" s="221"/>
      <c r="E368" s="248"/>
      <c r="F368" s="221"/>
      <c r="G368" s="248"/>
      <c r="H368" s="249">
        <f>SUM(H364:H367)</f>
        <v>7341633</v>
      </c>
      <c r="I368" s="250"/>
      <c r="J368" s="249">
        <f>SUM(J364:J367)</f>
        <v>239385146</v>
      </c>
      <c r="K368" s="228"/>
    </row>
    <row r="369" spans="1:11" s="452" customFormat="1" ht="17.25" thickTop="1">
      <c r="A369" s="452" t="s">
        <v>567</v>
      </c>
      <c r="B369" s="214" t="s">
        <v>568</v>
      </c>
      <c r="C369" s="453"/>
      <c r="D369" s="454"/>
      <c r="E369" s="453"/>
      <c r="F369" s="454"/>
      <c r="G369" s="453"/>
      <c r="H369" s="454"/>
      <c r="I369" s="455"/>
      <c r="J369" s="456"/>
      <c r="K369" s="457"/>
    </row>
    <row r="370" spans="1:11" s="195" customFormat="1" ht="15" hidden="1">
      <c r="A370" s="214" t="s">
        <v>385</v>
      </c>
      <c r="B370" s="214" t="s">
        <v>569</v>
      </c>
      <c r="C370" s="216"/>
      <c r="D370" s="234"/>
      <c r="E370" s="216"/>
      <c r="F370" s="234"/>
      <c r="G370" s="216"/>
      <c r="H370" s="234"/>
      <c r="I370" s="303"/>
      <c r="J370" s="276"/>
      <c r="K370" s="228"/>
    </row>
    <row r="371" spans="3:11" s="195" customFormat="1" ht="14.25" hidden="1">
      <c r="C371" s="216"/>
      <c r="D371" s="234"/>
      <c r="E371" s="216"/>
      <c r="F371" s="234"/>
      <c r="G371" s="216"/>
      <c r="H371" s="234"/>
      <c r="I371" s="303"/>
      <c r="J371" s="276"/>
      <c r="K371" s="228"/>
    </row>
    <row r="372" spans="1:11" s="214" customFormat="1" ht="15" hidden="1">
      <c r="A372" s="214" t="str">
        <f>LEFT(A370,1)+1&amp;"."</f>
        <v>2.</v>
      </c>
      <c r="B372" s="214" t="s">
        <v>570</v>
      </c>
      <c r="C372" s="248"/>
      <c r="D372" s="221"/>
      <c r="E372" s="248"/>
      <c r="F372" s="221"/>
      <c r="G372" s="248"/>
      <c r="H372" s="221"/>
      <c r="I372" s="305"/>
      <c r="J372" s="458"/>
      <c r="K372" s="459"/>
    </row>
    <row r="373" spans="3:11" s="195" customFormat="1" ht="14.25" hidden="1">
      <c r="C373" s="216"/>
      <c r="D373" s="234"/>
      <c r="E373" s="216"/>
      <c r="F373" s="234"/>
      <c r="G373" s="216"/>
      <c r="H373" s="234"/>
      <c r="I373" s="303"/>
      <c r="J373" s="276"/>
      <c r="K373" s="228"/>
    </row>
    <row r="374" spans="2:11" s="195" customFormat="1" ht="14.25" hidden="1">
      <c r="B374" s="584" t="s">
        <v>571</v>
      </c>
      <c r="C374" s="584"/>
      <c r="D374" s="584"/>
      <c r="E374" s="584"/>
      <c r="F374" s="584"/>
      <c r="G374" s="584"/>
      <c r="H374" s="584"/>
      <c r="I374" s="584"/>
      <c r="J374" s="584"/>
      <c r="K374" s="228"/>
    </row>
    <row r="375" spans="3:11" s="195" customFormat="1" ht="14.25" hidden="1">
      <c r="C375" s="216"/>
      <c r="D375" s="234"/>
      <c r="E375" s="216"/>
      <c r="F375" s="234"/>
      <c r="G375" s="216"/>
      <c r="H375" s="234"/>
      <c r="I375" s="303"/>
      <c r="J375" s="276"/>
      <c r="K375" s="228"/>
    </row>
    <row r="376" spans="2:11" s="195" customFormat="1" ht="14.25" hidden="1">
      <c r="B376" s="584" t="s">
        <v>572</v>
      </c>
      <c r="C376" s="584"/>
      <c r="D376" s="584"/>
      <c r="E376" s="584"/>
      <c r="F376" s="584"/>
      <c r="G376" s="584"/>
      <c r="H376" s="584"/>
      <c r="I376" s="584"/>
      <c r="J376" s="584"/>
      <c r="K376" s="228"/>
    </row>
    <row r="377" spans="3:11" s="195" customFormat="1" ht="14.25" hidden="1">
      <c r="C377" s="216"/>
      <c r="D377" s="234"/>
      <c r="E377" s="216"/>
      <c r="F377" s="234"/>
      <c r="G377" s="216"/>
      <c r="H377" s="234"/>
      <c r="I377" s="303"/>
      <c r="J377" s="276"/>
      <c r="K377" s="228"/>
    </row>
    <row r="378" spans="1:11" s="195" customFormat="1" ht="15" hidden="1">
      <c r="A378" s="460" t="e">
        <f>LEFT(#REF!,1)+1&amp;"."</f>
        <v>#REF!</v>
      </c>
      <c r="B378" s="585" t="s">
        <v>573</v>
      </c>
      <c r="C378" s="585"/>
      <c r="D378" s="585"/>
      <c r="E378" s="585"/>
      <c r="F378" s="585"/>
      <c r="G378" s="585"/>
      <c r="H378" s="585"/>
      <c r="I378" s="585"/>
      <c r="J378" s="585"/>
      <c r="K378" s="228"/>
    </row>
    <row r="379" spans="1:11" s="195" customFormat="1" ht="15" hidden="1">
      <c r="A379" s="251"/>
      <c r="B379" s="229"/>
      <c r="C379" s="252"/>
      <c r="D379" s="247"/>
      <c r="E379" s="252"/>
      <c r="F379" s="247"/>
      <c r="G379" s="252"/>
      <c r="H379" s="228"/>
      <c r="I379" s="253"/>
      <c r="J379" s="228"/>
      <c r="K379" s="228"/>
    </row>
    <row r="380" spans="1:11" s="214" customFormat="1" ht="15" hidden="1">
      <c r="A380" s="460" t="e">
        <f>LEFT(A378,1)+1&amp;"."</f>
        <v>#REF!</v>
      </c>
      <c r="B380" s="251" t="s">
        <v>574</v>
      </c>
      <c r="C380" s="326"/>
      <c r="D380" s="223"/>
      <c r="E380" s="326"/>
      <c r="F380" s="223"/>
      <c r="G380" s="326"/>
      <c r="H380" s="459"/>
      <c r="I380" s="327"/>
      <c r="J380" s="459"/>
      <c r="K380" s="459"/>
    </row>
    <row r="381" spans="1:11" s="195" customFormat="1" ht="15" hidden="1">
      <c r="A381" s="251"/>
      <c r="B381" s="229"/>
      <c r="C381" s="252"/>
      <c r="D381" s="247"/>
      <c r="E381" s="252"/>
      <c r="F381" s="247"/>
      <c r="G381" s="252"/>
      <c r="H381" s="228"/>
      <c r="I381" s="253"/>
      <c r="J381" s="228"/>
      <c r="K381" s="228"/>
    </row>
    <row r="382" spans="1:11" s="195" customFormat="1" ht="15" hidden="1">
      <c r="A382" s="251"/>
      <c r="B382" s="229"/>
      <c r="C382" s="252"/>
      <c r="D382" s="247"/>
      <c r="E382" s="252"/>
      <c r="F382" s="247"/>
      <c r="G382" s="252"/>
      <c r="H382" s="228"/>
      <c r="I382" s="253"/>
      <c r="J382" s="228"/>
      <c r="K382" s="228"/>
    </row>
    <row r="383" spans="1:11" s="195" customFormat="1" ht="15" hidden="1">
      <c r="A383" s="251"/>
      <c r="B383" s="229"/>
      <c r="C383" s="252"/>
      <c r="D383" s="247"/>
      <c r="E383" s="252"/>
      <c r="F383" s="247"/>
      <c r="G383" s="252"/>
      <c r="H383" s="228"/>
      <c r="I383" s="253"/>
      <c r="J383" s="228"/>
      <c r="K383" s="228"/>
    </row>
    <row r="384" spans="1:11" s="195" customFormat="1" ht="15">
      <c r="A384" s="214" t="s">
        <v>575</v>
      </c>
      <c r="B384" s="214" t="s">
        <v>568</v>
      </c>
      <c r="C384" s="216"/>
      <c r="D384" s="234"/>
      <c r="E384" s="216"/>
      <c r="F384" s="234"/>
      <c r="G384" s="216"/>
      <c r="H384" s="276"/>
      <c r="I384" s="303"/>
      <c r="J384" s="276"/>
      <c r="K384" s="276"/>
    </row>
    <row r="385" spans="1:11" s="195" customFormat="1" ht="15">
      <c r="A385" s="214"/>
      <c r="C385" s="216"/>
      <c r="D385" s="234"/>
      <c r="E385" s="216"/>
      <c r="F385" s="234"/>
      <c r="G385" s="216"/>
      <c r="H385" s="276"/>
      <c r="I385" s="303"/>
      <c r="J385" s="276"/>
      <c r="K385" s="276"/>
    </row>
    <row r="386" spans="1:11" s="195" customFormat="1" ht="15">
      <c r="A386" s="214"/>
      <c r="C386" s="216"/>
      <c r="D386" s="234"/>
      <c r="E386" s="216"/>
      <c r="F386" s="234"/>
      <c r="G386" s="216"/>
      <c r="H386" s="276"/>
      <c r="I386" s="303"/>
      <c r="J386" s="276"/>
      <c r="K386" s="276"/>
    </row>
    <row r="387" spans="1:11" s="195" customFormat="1" ht="15">
      <c r="A387" s="214"/>
      <c r="C387" s="216"/>
      <c r="D387" s="234"/>
      <c r="E387" s="216"/>
      <c r="F387" s="234"/>
      <c r="G387" s="216"/>
      <c r="H387" s="276"/>
      <c r="I387" s="303"/>
      <c r="J387" s="276"/>
      <c r="K387" s="276"/>
    </row>
    <row r="388" spans="1:11" s="195" customFormat="1" ht="15">
      <c r="A388" s="214"/>
      <c r="C388" s="216"/>
      <c r="D388" s="234"/>
      <c r="E388" s="216"/>
      <c r="F388" s="234"/>
      <c r="G388" s="216"/>
      <c r="H388" s="276"/>
      <c r="I388" s="303"/>
      <c r="J388" s="276"/>
      <c r="K388" s="276"/>
    </row>
    <row r="389" spans="1:11" s="195" customFormat="1" ht="15">
      <c r="A389" s="270" t="str">
        <f>LEFT($A$384,2)&amp;"1"</f>
        <v>2.1</v>
      </c>
      <c r="B389" s="270" t="s">
        <v>576</v>
      </c>
      <c r="C389" s="216"/>
      <c r="D389" s="234"/>
      <c r="E389" s="216"/>
      <c r="F389" s="234"/>
      <c r="G389" s="216"/>
      <c r="H389" s="221" t="s">
        <v>735</v>
      </c>
      <c r="I389" s="234"/>
      <c r="J389" s="217">
        <v>39356</v>
      </c>
      <c r="K389" s="276"/>
    </row>
    <row r="390" spans="1:11" s="195" customFormat="1" ht="15">
      <c r="A390" s="214"/>
      <c r="C390" s="216"/>
      <c r="D390" s="234"/>
      <c r="E390" s="216"/>
      <c r="F390" s="234"/>
      <c r="G390" s="216"/>
      <c r="H390" s="222" t="s">
        <v>389</v>
      </c>
      <c r="I390" s="221"/>
      <c r="J390" s="222" t="s">
        <v>389</v>
      </c>
      <c r="K390" s="276"/>
    </row>
    <row r="391" spans="1:11" s="195" customFormat="1" ht="9" customHeight="1">
      <c r="A391" s="214"/>
      <c r="C391" s="216"/>
      <c r="D391" s="234"/>
      <c r="E391" s="216"/>
      <c r="F391" s="234"/>
      <c r="G391" s="216"/>
      <c r="H391" s="276"/>
      <c r="I391" s="303"/>
      <c r="J391" s="276"/>
      <c r="K391" s="228"/>
    </row>
    <row r="392" spans="1:11" s="195" customFormat="1" ht="15">
      <c r="A392" s="251"/>
      <c r="B392" s="199" t="s">
        <v>740</v>
      </c>
      <c r="C392" s="216"/>
      <c r="D392" s="234"/>
      <c r="E392" s="216"/>
      <c r="F392" s="234"/>
      <c r="G392" s="216"/>
      <c r="H392" s="284">
        <v>49000000</v>
      </c>
      <c r="I392" s="241"/>
      <c r="J392" s="284">
        <v>0</v>
      </c>
      <c r="K392" s="228"/>
    </row>
    <row r="393" spans="1:11" s="195" customFormat="1" ht="15">
      <c r="A393" s="251"/>
      <c r="B393" s="199" t="s">
        <v>712</v>
      </c>
      <c r="C393" s="216"/>
      <c r="D393" s="234"/>
      <c r="E393" s="216"/>
      <c r="F393" s="234"/>
      <c r="G393" s="216"/>
      <c r="H393" s="284">
        <v>12000000</v>
      </c>
      <c r="I393" s="241"/>
      <c r="J393" s="284">
        <v>0</v>
      </c>
      <c r="K393" s="228"/>
    </row>
    <row r="394" spans="1:11" s="195" customFormat="1" ht="14.25" customHeight="1">
      <c r="A394" s="214"/>
      <c r="B394" s="199" t="s">
        <v>741</v>
      </c>
      <c r="C394" s="216"/>
      <c r="D394" s="234"/>
      <c r="E394" s="216"/>
      <c r="F394" s="234"/>
      <c r="G394" s="216"/>
      <c r="H394" s="284">
        <v>53000000</v>
      </c>
      <c r="I394" s="241"/>
      <c r="J394" s="284">
        <v>0</v>
      </c>
      <c r="K394" s="228"/>
    </row>
    <row r="395" spans="1:11" s="195" customFormat="1" ht="15">
      <c r="A395" s="214"/>
      <c r="B395" s="199" t="s">
        <v>742</v>
      </c>
      <c r="C395" s="216"/>
      <c r="D395" s="234"/>
      <c r="E395" s="216"/>
      <c r="F395" s="234"/>
      <c r="G395" s="216"/>
      <c r="H395" s="235">
        <v>15000000</v>
      </c>
      <c r="I395" s="308"/>
      <c r="J395" s="235">
        <v>0</v>
      </c>
      <c r="K395" s="228"/>
    </row>
    <row r="396" spans="1:11" s="195" customFormat="1" ht="15">
      <c r="A396" s="214"/>
      <c r="B396" s="199" t="s">
        <v>743</v>
      </c>
      <c r="C396" s="216"/>
      <c r="D396" s="234"/>
      <c r="E396" s="216"/>
      <c r="F396" s="234"/>
      <c r="G396" s="216"/>
      <c r="H396" s="235">
        <v>571000000</v>
      </c>
      <c r="I396" s="308"/>
      <c r="J396" s="235">
        <v>0</v>
      </c>
      <c r="K396" s="228"/>
    </row>
    <row r="397" spans="1:11" s="195" customFormat="1" ht="15">
      <c r="A397" s="214"/>
      <c r="B397" s="199" t="s">
        <v>577</v>
      </c>
      <c r="C397" s="216"/>
      <c r="D397" s="234"/>
      <c r="E397" s="216"/>
      <c r="F397" s="234"/>
      <c r="G397" s="216"/>
      <c r="H397" s="235">
        <v>0</v>
      </c>
      <c r="I397" s="308"/>
      <c r="J397" s="235">
        <v>8040500</v>
      </c>
      <c r="K397" s="228"/>
    </row>
    <row r="398" spans="1:11" s="195" customFormat="1" ht="15">
      <c r="A398" s="214"/>
      <c r="B398" s="199" t="s">
        <v>578</v>
      </c>
      <c r="C398" s="216"/>
      <c r="D398" s="234"/>
      <c r="E398" s="216"/>
      <c r="F398" s="234"/>
      <c r="G398" s="216"/>
      <c r="H398" s="235">
        <v>0</v>
      </c>
      <c r="I398" s="308"/>
      <c r="J398" s="235">
        <v>2300000</v>
      </c>
      <c r="K398" s="228"/>
    </row>
    <row r="399" spans="1:11" s="195" customFormat="1" ht="15">
      <c r="A399" s="214"/>
      <c r="B399" s="199" t="s">
        <v>744</v>
      </c>
      <c r="C399" s="216"/>
      <c r="D399" s="234"/>
      <c r="E399" s="216"/>
      <c r="F399" s="234"/>
      <c r="G399" s="216"/>
      <c r="H399" s="235">
        <v>40000000</v>
      </c>
      <c r="I399" s="308"/>
      <c r="J399" s="235">
        <v>0</v>
      </c>
      <c r="K399" s="228"/>
    </row>
    <row r="400" spans="1:11" s="195" customFormat="1" ht="15">
      <c r="A400" s="214"/>
      <c r="B400" s="199" t="s">
        <v>579</v>
      </c>
      <c r="C400" s="216"/>
      <c r="D400" s="234"/>
      <c r="E400" s="216"/>
      <c r="F400" s="234"/>
      <c r="G400" s="216"/>
      <c r="H400" s="235">
        <v>248490566</v>
      </c>
      <c r="I400" s="308"/>
      <c r="J400" s="235">
        <v>634938655</v>
      </c>
      <c r="K400" s="228"/>
    </row>
    <row r="401" spans="1:11" s="195" customFormat="1" ht="15">
      <c r="A401" s="214"/>
      <c r="B401" s="199" t="s">
        <v>580</v>
      </c>
      <c r="C401" s="216"/>
      <c r="D401" s="234"/>
      <c r="E401" s="216"/>
      <c r="F401" s="234"/>
      <c r="G401" s="216"/>
      <c r="H401" s="235">
        <v>56819416</v>
      </c>
      <c r="I401" s="308"/>
      <c r="J401" s="235">
        <v>285935258</v>
      </c>
      <c r="K401" s="228"/>
    </row>
    <row r="402" spans="1:11" s="195" customFormat="1" ht="15">
      <c r="A402" s="214"/>
      <c r="B402" s="199" t="s">
        <v>581</v>
      </c>
      <c r="C402" s="216"/>
      <c r="D402" s="234"/>
      <c r="E402" s="216"/>
      <c r="F402" s="234"/>
      <c r="G402" s="216"/>
      <c r="H402" s="235">
        <v>12930561</v>
      </c>
      <c r="I402" s="308"/>
      <c r="J402" s="235">
        <v>112813859</v>
      </c>
      <c r="K402" s="228"/>
    </row>
    <row r="403" spans="1:11" s="195" customFormat="1" ht="13.5" customHeight="1">
      <c r="A403" s="214"/>
      <c r="B403" s="199" t="s">
        <v>582</v>
      </c>
      <c r="C403" s="216"/>
      <c r="D403" s="234"/>
      <c r="E403" s="216"/>
      <c r="F403" s="234"/>
      <c r="G403" s="216"/>
      <c r="H403" s="276">
        <v>0</v>
      </c>
      <c r="I403" s="303"/>
      <c r="J403" s="276">
        <v>200000000</v>
      </c>
      <c r="K403" s="228"/>
    </row>
    <row r="404" spans="1:11" s="195" customFormat="1" ht="14.25" customHeight="1">
      <c r="A404" s="214"/>
      <c r="B404" s="199" t="s">
        <v>583</v>
      </c>
      <c r="C404" s="216"/>
      <c r="D404" s="234"/>
      <c r="E404" s="216"/>
      <c r="F404" s="234"/>
      <c r="G404" s="216"/>
      <c r="H404" s="276">
        <v>0</v>
      </c>
      <c r="I404" s="303"/>
      <c r="J404" s="276">
        <v>3499997</v>
      </c>
      <c r="K404" s="228"/>
    </row>
    <row r="405" spans="1:11" s="195" customFormat="1" ht="14.25" customHeight="1">
      <c r="A405" s="214"/>
      <c r="B405" s="199" t="s">
        <v>404</v>
      </c>
      <c r="C405" s="216"/>
      <c r="D405" s="234"/>
      <c r="E405" s="216"/>
      <c r="F405" s="234"/>
      <c r="G405" s="216"/>
      <c r="H405" s="276">
        <v>334260254</v>
      </c>
      <c r="I405" s="303"/>
      <c r="J405" s="276">
        <v>793230000</v>
      </c>
      <c r="K405" s="228"/>
    </row>
    <row r="406" spans="1:13" s="195" customFormat="1" ht="9" customHeight="1">
      <c r="A406" s="214"/>
      <c r="C406" s="216"/>
      <c r="D406" s="234"/>
      <c r="E406" s="216"/>
      <c r="F406" s="234"/>
      <c r="G406" s="216"/>
      <c r="H406" s="276"/>
      <c r="I406" s="303"/>
      <c r="J406" s="276"/>
      <c r="K406" s="228"/>
      <c r="M406" s="461"/>
    </row>
    <row r="407" spans="1:11" s="195" customFormat="1" ht="9" customHeight="1">
      <c r="A407" s="214"/>
      <c r="C407" s="216"/>
      <c r="D407" s="234"/>
      <c r="E407" s="216"/>
      <c r="F407" s="234"/>
      <c r="G407" s="216"/>
      <c r="H407" s="276"/>
      <c r="I407" s="303"/>
      <c r="J407" s="276"/>
      <c r="K407" s="228"/>
    </row>
    <row r="408" spans="2:11" s="214" customFormat="1" ht="15.75" thickBot="1">
      <c r="B408" s="214" t="s">
        <v>398</v>
      </c>
      <c r="C408" s="248"/>
      <c r="D408" s="221"/>
      <c r="E408" s="248"/>
      <c r="F408" s="221"/>
      <c r="G408" s="248"/>
      <c r="H408" s="413">
        <f>SUM(H392:H405)</f>
        <v>1392500797</v>
      </c>
      <c r="I408" s="250"/>
      <c r="J408" s="249">
        <f>SUM(J392:J405)</f>
        <v>2040758269</v>
      </c>
      <c r="K408" s="459"/>
    </row>
    <row r="409" spans="1:13" s="195" customFormat="1" ht="15" customHeight="1" thickTop="1">
      <c r="A409" s="251"/>
      <c r="B409" s="229"/>
      <c r="C409" s="252"/>
      <c r="D409" s="247"/>
      <c r="E409" s="252"/>
      <c r="F409" s="247"/>
      <c r="G409" s="252"/>
      <c r="H409" s="228"/>
      <c r="I409" s="253"/>
      <c r="J409" s="228"/>
      <c r="K409" s="228"/>
      <c r="M409" s="461"/>
    </row>
    <row r="410" spans="1:11" s="195" customFormat="1" ht="15">
      <c r="A410" s="270" t="str">
        <f>LEFT($A$384,2)&amp;"2"</f>
        <v>2.2</v>
      </c>
      <c r="B410" s="214" t="s">
        <v>584</v>
      </c>
      <c r="C410" s="216"/>
      <c r="D410" s="234"/>
      <c r="E410" s="216"/>
      <c r="F410" s="234"/>
      <c r="G410" s="216"/>
      <c r="H410" s="221" t="s">
        <v>735</v>
      </c>
      <c r="I410" s="305"/>
      <c r="J410" s="217">
        <v>39356</v>
      </c>
      <c r="K410" s="276"/>
    </row>
    <row r="411" spans="1:11" s="195" customFormat="1" ht="15">
      <c r="A411" s="214"/>
      <c r="C411" s="216"/>
      <c r="D411" s="234"/>
      <c r="E411" s="216"/>
      <c r="F411" s="234"/>
      <c r="G411" s="216"/>
      <c r="H411" s="222" t="s">
        <v>389</v>
      </c>
      <c r="I411" s="221"/>
      <c r="J411" s="222" t="s">
        <v>389</v>
      </c>
      <c r="K411" s="276"/>
    </row>
    <row r="412" spans="1:11" s="195" customFormat="1" ht="9" customHeight="1">
      <c r="A412" s="214"/>
      <c r="C412" s="216"/>
      <c r="D412" s="234"/>
      <c r="E412" s="216"/>
      <c r="F412" s="234"/>
      <c r="G412" s="216"/>
      <c r="H412" s="276"/>
      <c r="I412" s="303"/>
      <c r="J412" s="276"/>
      <c r="K412" s="228"/>
    </row>
    <row r="413" spans="1:11" s="195" customFormat="1" ht="15">
      <c r="A413" s="214"/>
      <c r="B413" s="199" t="s">
        <v>739</v>
      </c>
      <c r="C413" s="216"/>
      <c r="D413" s="234"/>
      <c r="E413" s="216"/>
      <c r="F413" s="234"/>
      <c r="G413" s="216"/>
      <c r="H413" s="235">
        <v>1500000</v>
      </c>
      <c r="I413" s="308"/>
      <c r="J413" s="235">
        <v>0</v>
      </c>
      <c r="K413" s="276"/>
    </row>
    <row r="414" spans="1:11" s="195" customFormat="1" ht="15">
      <c r="A414" s="214"/>
      <c r="B414" s="199" t="s">
        <v>585</v>
      </c>
      <c r="C414" s="216"/>
      <c r="D414" s="234"/>
      <c r="E414" s="216"/>
      <c r="F414" s="234"/>
      <c r="G414" s="216"/>
      <c r="H414" s="235">
        <f>J414</f>
        <v>22353000</v>
      </c>
      <c r="I414" s="308"/>
      <c r="J414" s="235">
        <v>22353000</v>
      </c>
      <c r="K414" s="276"/>
    </row>
    <row r="415" spans="1:11" s="195" customFormat="1" ht="18" customHeight="1">
      <c r="A415" s="214"/>
      <c r="B415" s="199" t="s">
        <v>586</v>
      </c>
      <c r="C415" s="216"/>
      <c r="D415" s="234"/>
      <c r="E415" s="216"/>
      <c r="F415" s="234"/>
      <c r="G415" s="216"/>
      <c r="H415" s="235">
        <v>0</v>
      </c>
      <c r="I415" s="308"/>
      <c r="J415" s="235">
        <v>2999692</v>
      </c>
      <c r="K415" s="276"/>
    </row>
    <row r="416" spans="1:11" s="195" customFormat="1" ht="18" customHeight="1">
      <c r="A416" s="214"/>
      <c r="B416" s="199" t="s">
        <v>587</v>
      </c>
      <c r="C416" s="216"/>
      <c r="D416" s="234"/>
      <c r="E416" s="199"/>
      <c r="F416" s="234"/>
      <c r="G416" s="216"/>
      <c r="H416" s="235">
        <f>J416</f>
        <v>6600000</v>
      </c>
      <c r="I416" s="303"/>
      <c r="J416" s="276">
        <v>6600000</v>
      </c>
      <c r="K416" s="228"/>
    </row>
    <row r="417" spans="1:11" s="195" customFormat="1" ht="18" customHeight="1">
      <c r="A417" s="214"/>
      <c r="B417" s="199" t="s">
        <v>588</v>
      </c>
      <c r="C417" s="216"/>
      <c r="D417" s="234"/>
      <c r="E417" s="199"/>
      <c r="F417" s="234"/>
      <c r="G417" s="216"/>
      <c r="H417" s="235">
        <f>J417</f>
        <v>66500000</v>
      </c>
      <c r="I417" s="303"/>
      <c r="J417" s="276">
        <v>66500000</v>
      </c>
      <c r="K417" s="228"/>
    </row>
    <row r="418" spans="1:11" s="195" customFormat="1" ht="18" customHeight="1">
      <c r="A418" s="214"/>
      <c r="B418" s="199" t="s">
        <v>589</v>
      </c>
      <c r="C418" s="216"/>
      <c r="D418" s="234"/>
      <c r="E418" s="199"/>
      <c r="F418" s="234"/>
      <c r="G418" s="216"/>
      <c r="H418" s="235">
        <f>J418</f>
        <v>26240000</v>
      </c>
      <c r="I418" s="303"/>
      <c r="J418" s="276">
        <v>26240000</v>
      </c>
      <c r="K418" s="228"/>
    </row>
    <row r="419" spans="1:11" s="195" customFormat="1" ht="18" customHeight="1">
      <c r="A419" s="214"/>
      <c r="B419" s="199" t="s">
        <v>590</v>
      </c>
      <c r="C419" s="216"/>
      <c r="D419" s="234"/>
      <c r="E419" s="199"/>
      <c r="F419" s="234"/>
      <c r="G419" s="216"/>
      <c r="H419" s="235">
        <v>0</v>
      </c>
      <c r="I419" s="303"/>
      <c r="J419" s="276">
        <v>20866300</v>
      </c>
      <c r="K419" s="228"/>
    </row>
    <row r="420" spans="1:11" s="195" customFormat="1" ht="18" customHeight="1">
      <c r="A420" s="214"/>
      <c r="B420" s="199" t="s">
        <v>591</v>
      </c>
      <c r="C420" s="216"/>
      <c r="D420" s="234"/>
      <c r="E420" s="199"/>
      <c r="F420" s="234"/>
      <c r="G420" s="216"/>
      <c r="H420" s="235">
        <v>0</v>
      </c>
      <c r="I420" s="303"/>
      <c r="J420" s="276">
        <v>50000000</v>
      </c>
      <c r="K420" s="228"/>
    </row>
    <row r="421" spans="1:11" s="195" customFormat="1" ht="18" customHeight="1">
      <c r="A421" s="214"/>
      <c r="B421" s="199" t="s">
        <v>592</v>
      </c>
      <c r="C421" s="216"/>
      <c r="D421" s="234"/>
      <c r="E421" s="199"/>
      <c r="F421" s="234"/>
      <c r="G421" s="216"/>
      <c r="H421" s="235">
        <v>0</v>
      </c>
      <c r="I421" s="303"/>
      <c r="J421" s="276">
        <v>752079060</v>
      </c>
      <c r="K421" s="228"/>
    </row>
    <row r="422" spans="1:11" s="195" customFormat="1" ht="19.5" customHeight="1">
      <c r="A422" s="214"/>
      <c r="B422" s="199" t="s">
        <v>593</v>
      </c>
      <c r="C422" s="216"/>
      <c r="D422" s="234"/>
      <c r="E422" s="199"/>
      <c r="F422" s="234"/>
      <c r="G422" s="216"/>
      <c r="H422" s="235">
        <v>0</v>
      </c>
      <c r="I422" s="303"/>
      <c r="J422" s="276">
        <v>30000000</v>
      </c>
      <c r="K422" s="228"/>
    </row>
    <row r="423" spans="1:11" s="195" customFormat="1" ht="19.5" customHeight="1">
      <c r="A423" s="214"/>
      <c r="B423" s="199" t="s">
        <v>754</v>
      </c>
      <c r="C423" s="216"/>
      <c r="D423" s="234"/>
      <c r="E423" s="199"/>
      <c r="F423" s="234"/>
      <c r="G423" s="216"/>
      <c r="H423" s="235">
        <v>250000000</v>
      </c>
      <c r="I423" s="303"/>
      <c r="J423" s="276">
        <v>0</v>
      </c>
      <c r="K423" s="228"/>
    </row>
    <row r="424" spans="1:11" s="195" customFormat="1" ht="19.5" customHeight="1">
      <c r="A424" s="214"/>
      <c r="B424" s="199" t="s">
        <v>755</v>
      </c>
      <c r="C424" s="216"/>
      <c r="D424" s="234"/>
      <c r="E424" s="199"/>
      <c r="F424" s="234"/>
      <c r="G424" s="216"/>
      <c r="H424" s="235">
        <v>278964000</v>
      </c>
      <c r="I424" s="303"/>
      <c r="J424" s="276">
        <v>0</v>
      </c>
      <c r="K424" s="228"/>
    </row>
    <row r="425" spans="1:11" s="195" customFormat="1" ht="19.5" customHeight="1">
      <c r="A425" s="214"/>
      <c r="B425" s="199" t="s">
        <v>756</v>
      </c>
      <c r="C425" s="216"/>
      <c r="D425" s="234"/>
      <c r="E425" s="199"/>
      <c r="F425" s="234"/>
      <c r="G425" s="216"/>
      <c r="H425" s="235">
        <v>68571429</v>
      </c>
      <c r="I425" s="303"/>
      <c r="J425" s="276">
        <v>0</v>
      </c>
      <c r="K425" s="228"/>
    </row>
    <row r="426" spans="1:11" s="195" customFormat="1" ht="15.75" thickBot="1">
      <c r="A426" s="214"/>
      <c r="B426" s="214" t="s">
        <v>398</v>
      </c>
      <c r="C426" s="248"/>
      <c r="D426" s="221"/>
      <c r="E426" s="248"/>
      <c r="F426" s="221"/>
      <c r="G426" s="248"/>
      <c r="H426" s="249">
        <f>SUM(H413:H425)</f>
        <v>720728429</v>
      </c>
      <c r="I426" s="250"/>
      <c r="J426" s="249">
        <f>SUM(J413:J425)</f>
        <v>977638052</v>
      </c>
      <c r="K426" s="276"/>
    </row>
    <row r="427" spans="1:11" s="462" customFormat="1" ht="15.75" thickTop="1">
      <c r="A427" s="251"/>
      <c r="B427" s="229"/>
      <c r="C427" s="252"/>
      <c r="D427" s="247"/>
      <c r="E427" s="252"/>
      <c r="F427" s="247"/>
      <c r="G427" s="252"/>
      <c r="H427" s="228"/>
      <c r="I427" s="253"/>
      <c r="J427" s="228"/>
      <c r="K427" s="228"/>
    </row>
    <row r="428" spans="1:11" s="195" customFormat="1" ht="15">
      <c r="A428" s="214" t="s">
        <v>594</v>
      </c>
      <c r="B428" s="214" t="s">
        <v>595</v>
      </c>
      <c r="C428" s="216"/>
      <c r="D428" s="234"/>
      <c r="E428" s="216"/>
      <c r="F428" s="234"/>
      <c r="G428" s="216"/>
      <c r="H428" s="217" t="str">
        <f>H410</f>
        <v>Quý 4 n¨m 2007</v>
      </c>
      <c r="I428" s="305"/>
      <c r="J428" s="217">
        <v>39356</v>
      </c>
      <c r="K428" s="228"/>
    </row>
    <row r="429" spans="1:11" s="195" customFormat="1" ht="15">
      <c r="A429" s="214"/>
      <c r="C429" s="216"/>
      <c r="D429" s="234"/>
      <c r="E429" s="216"/>
      <c r="F429" s="234"/>
      <c r="G429" s="216"/>
      <c r="H429" s="222" t="s">
        <v>389</v>
      </c>
      <c r="I429" s="221"/>
      <c r="J429" s="222" t="s">
        <v>389</v>
      </c>
      <c r="K429" s="228"/>
    </row>
    <row r="430" spans="1:11" s="195" customFormat="1" ht="9" customHeight="1">
      <c r="A430" s="214"/>
      <c r="C430" s="216"/>
      <c r="D430" s="234"/>
      <c r="E430" s="216"/>
      <c r="F430" s="234"/>
      <c r="G430" s="216"/>
      <c r="H430" s="276"/>
      <c r="I430" s="303"/>
      <c r="J430" s="276"/>
      <c r="K430" s="228"/>
    </row>
    <row r="431" spans="1:11" s="230" customFormat="1" ht="14.25">
      <c r="A431" s="363"/>
      <c r="B431" s="230" t="s">
        <v>596</v>
      </c>
      <c r="C431" s="225"/>
      <c r="D431" s="445"/>
      <c r="E431" s="225"/>
      <c r="F431" s="445"/>
      <c r="G431" s="225"/>
      <c r="H431" s="231">
        <f>SUM(H433:H435)</f>
        <v>421807455</v>
      </c>
      <c r="I431" s="232"/>
      <c r="J431" s="231">
        <f>SUM(J433:J435)</f>
        <v>541870733</v>
      </c>
      <c r="K431" s="369"/>
    </row>
    <row r="432" spans="1:11" s="195" customFormat="1" ht="9" customHeight="1">
      <c r="A432" s="214"/>
      <c r="C432" s="216"/>
      <c r="D432" s="234"/>
      <c r="E432" s="216"/>
      <c r="F432" s="234"/>
      <c r="G432" s="216"/>
      <c r="H432" s="276"/>
      <c r="I432" s="303"/>
      <c r="J432" s="276"/>
      <c r="K432" s="228"/>
    </row>
    <row r="433" spans="1:11" s="195" customFormat="1" ht="15">
      <c r="A433" s="251"/>
      <c r="B433" s="199" t="s">
        <v>737</v>
      </c>
      <c r="C433" s="216"/>
      <c r="D433" s="234"/>
      <c r="E433" s="216"/>
      <c r="F433" s="234"/>
      <c r="G433" s="216"/>
      <c r="H433" s="284">
        <v>65000000</v>
      </c>
      <c r="I433" s="241"/>
      <c r="J433" s="284">
        <v>0</v>
      </c>
      <c r="K433" s="228"/>
    </row>
    <row r="434" spans="1:11" s="195" customFormat="1" ht="15">
      <c r="A434" s="251"/>
      <c r="B434" s="199" t="s">
        <v>597</v>
      </c>
      <c r="C434" s="216"/>
      <c r="D434" s="234"/>
      <c r="E434" s="216"/>
      <c r="F434" s="234"/>
      <c r="G434" s="216"/>
      <c r="H434" s="284">
        <f>532649455-150000000-25842000</f>
        <v>356807455</v>
      </c>
      <c r="I434" s="241"/>
      <c r="J434" s="284">
        <v>541870733</v>
      </c>
      <c r="K434" s="228"/>
    </row>
    <row r="435" spans="1:11" s="195" customFormat="1" ht="9" customHeight="1">
      <c r="A435" s="214"/>
      <c r="C435" s="216"/>
      <c r="D435" s="234"/>
      <c r="E435" s="216"/>
      <c r="F435" s="234"/>
      <c r="G435" s="216"/>
      <c r="H435" s="276"/>
      <c r="I435" s="303"/>
      <c r="J435" s="276"/>
      <c r="K435" s="228"/>
    </row>
    <row r="436" spans="1:11" s="195" customFormat="1" ht="15.75" thickBot="1">
      <c r="A436" s="214"/>
      <c r="B436" s="214" t="s">
        <v>398</v>
      </c>
      <c r="C436" s="248"/>
      <c r="D436" s="221"/>
      <c r="E436" s="248"/>
      <c r="F436" s="221"/>
      <c r="G436" s="248"/>
      <c r="H436" s="249">
        <f>SUM(H431)</f>
        <v>421807455</v>
      </c>
      <c r="I436" s="250"/>
      <c r="J436" s="249">
        <f>SUM(J431)</f>
        <v>541870733</v>
      </c>
      <c r="K436" s="276"/>
    </row>
    <row r="437" spans="1:11" ht="15.75" thickTop="1">
      <c r="A437" s="214"/>
      <c r="B437" s="195"/>
      <c r="C437" s="216"/>
      <c r="D437" s="234"/>
      <c r="E437" s="216"/>
      <c r="F437" s="234"/>
      <c r="G437" s="216"/>
      <c r="H437" s="276"/>
      <c r="I437" s="303"/>
      <c r="J437" s="276"/>
      <c r="K437" s="276"/>
    </row>
    <row r="438" spans="1:11" s="195" customFormat="1" ht="15">
      <c r="A438" s="214" t="s">
        <v>598</v>
      </c>
      <c r="B438" s="270" t="s">
        <v>599</v>
      </c>
      <c r="C438" s="216"/>
      <c r="D438" s="234"/>
      <c r="E438" s="216"/>
      <c r="F438" s="234"/>
      <c r="G438" s="216"/>
      <c r="H438" s="217">
        <v>39447</v>
      </c>
      <c r="I438" s="305"/>
      <c r="J438" s="217">
        <v>39356</v>
      </c>
      <c r="K438" s="276"/>
    </row>
    <row r="439" spans="1:11" s="195" customFormat="1" ht="15">
      <c r="A439" s="214"/>
      <c r="C439" s="216"/>
      <c r="D439" s="234"/>
      <c r="E439" s="216"/>
      <c r="F439" s="234"/>
      <c r="G439" s="216"/>
      <c r="H439" s="222" t="s">
        <v>389</v>
      </c>
      <c r="I439" s="221"/>
      <c r="J439" s="222" t="s">
        <v>389</v>
      </c>
      <c r="K439" s="276"/>
    </row>
    <row r="440" spans="1:11" s="195" customFormat="1" ht="9" customHeight="1">
      <c r="A440" s="214"/>
      <c r="C440" s="216"/>
      <c r="D440" s="234"/>
      <c r="E440" s="216"/>
      <c r="F440" s="234"/>
      <c r="G440" s="216"/>
      <c r="H440" s="276"/>
      <c r="I440" s="303"/>
      <c r="J440" s="276"/>
      <c r="K440" s="228"/>
    </row>
    <row r="441" spans="1:11" s="195" customFormat="1" ht="15">
      <c r="A441" s="251"/>
      <c r="B441" s="202" t="s">
        <v>600</v>
      </c>
      <c r="C441" s="463"/>
      <c r="D441" s="464"/>
      <c r="E441" s="463"/>
      <c r="F441" s="464"/>
      <c r="G441" s="463"/>
      <c r="H441" s="216">
        <v>0</v>
      </c>
      <c r="I441" s="465"/>
      <c r="J441" s="216">
        <v>30385069</v>
      </c>
      <c r="K441" s="228"/>
    </row>
    <row r="442" spans="1:11" s="195" customFormat="1" ht="15">
      <c r="A442" s="251"/>
      <c r="B442" s="202" t="s">
        <v>601</v>
      </c>
      <c r="C442" s="463"/>
      <c r="D442" s="464"/>
      <c r="E442" s="463"/>
      <c r="F442" s="464"/>
      <c r="G442" s="463"/>
      <c r="H442" s="216">
        <v>1395677</v>
      </c>
      <c r="I442" s="465"/>
      <c r="J442" s="216">
        <v>88542109</v>
      </c>
      <c r="K442" s="228"/>
    </row>
    <row r="443" spans="1:11" s="195" customFormat="1" ht="15">
      <c r="A443" s="214"/>
      <c r="B443" s="199" t="s">
        <v>602</v>
      </c>
      <c r="C443" s="216"/>
      <c r="D443" s="234"/>
      <c r="E443" s="216"/>
      <c r="F443" s="234"/>
      <c r="G443" s="216"/>
      <c r="H443" s="216">
        <v>5197331</v>
      </c>
      <c r="I443" s="241"/>
      <c r="J443" s="216">
        <v>94122059</v>
      </c>
      <c r="K443" s="276"/>
    </row>
    <row r="444" spans="1:11" s="195" customFormat="1" ht="15">
      <c r="A444" s="214"/>
      <c r="B444" s="199" t="s">
        <v>603</v>
      </c>
      <c r="C444" s="216"/>
      <c r="D444" s="234"/>
      <c r="E444" s="216"/>
      <c r="F444" s="234"/>
      <c r="G444" s="216"/>
      <c r="H444" s="216">
        <v>3267143</v>
      </c>
      <c r="I444" s="241"/>
      <c r="J444" s="216">
        <v>94330032</v>
      </c>
      <c r="K444" s="276"/>
    </row>
    <row r="445" spans="1:11" s="195" customFormat="1" ht="15">
      <c r="A445" s="214"/>
      <c r="B445" s="199" t="s">
        <v>604</v>
      </c>
      <c r="C445" s="216"/>
      <c r="D445" s="234"/>
      <c r="E445" s="216"/>
      <c r="F445" s="234"/>
      <c r="G445" s="216"/>
      <c r="H445" s="216">
        <v>454291</v>
      </c>
      <c r="I445" s="241"/>
      <c r="J445" s="216">
        <v>125373379</v>
      </c>
      <c r="K445" s="276"/>
    </row>
    <row r="446" spans="1:11" s="195" customFormat="1" ht="15">
      <c r="A446" s="214"/>
      <c r="B446" s="199" t="s">
        <v>605</v>
      </c>
      <c r="C446" s="216"/>
      <c r="D446" s="234"/>
      <c r="E446" s="216"/>
      <c r="F446" s="234"/>
      <c r="G446" s="216"/>
      <c r="H446" s="216">
        <v>205623</v>
      </c>
      <c r="I446" s="241"/>
      <c r="J446" s="216">
        <v>167487376</v>
      </c>
      <c r="K446" s="276"/>
    </row>
    <row r="447" spans="1:11" s="195" customFormat="1" ht="15">
      <c r="A447" s="214"/>
      <c r="B447" s="199" t="s">
        <v>606</v>
      </c>
      <c r="C447" s="216"/>
      <c r="D447" s="234"/>
      <c r="E447" s="216"/>
      <c r="F447" s="234"/>
      <c r="G447" s="216"/>
      <c r="H447" s="216">
        <v>1253402</v>
      </c>
      <c r="I447" s="241"/>
      <c r="J447" s="216">
        <v>141421094</v>
      </c>
      <c r="K447" s="276"/>
    </row>
    <row r="448" spans="1:11" s="195" customFormat="1" ht="15">
      <c r="A448" s="214"/>
      <c r="B448" s="199" t="s">
        <v>607</v>
      </c>
      <c r="C448" s="216"/>
      <c r="D448" s="234"/>
      <c r="E448" s="216"/>
      <c r="F448" s="234"/>
      <c r="G448" s="216"/>
      <c r="H448" s="216">
        <v>98390</v>
      </c>
      <c r="I448" s="241"/>
      <c r="J448" s="216">
        <v>178890</v>
      </c>
      <c r="K448" s="276"/>
    </row>
    <row r="449" spans="1:11" s="195" customFormat="1" ht="15">
      <c r="A449" s="214"/>
      <c r="B449" s="199" t="s">
        <v>608</v>
      </c>
      <c r="C449" s="216"/>
      <c r="D449" s="234"/>
      <c r="E449" s="216"/>
      <c r="F449" s="234"/>
      <c r="G449" s="216"/>
      <c r="H449" s="216">
        <v>2410600</v>
      </c>
      <c r="I449" s="241"/>
      <c r="J449" s="216">
        <v>12202729</v>
      </c>
      <c r="K449" s="276"/>
    </row>
    <row r="450" spans="1:11" s="195" customFormat="1" ht="15">
      <c r="A450" s="214"/>
      <c r="B450" s="199" t="s">
        <v>609</v>
      </c>
      <c r="C450" s="216"/>
      <c r="D450" s="234"/>
      <c r="E450" s="216"/>
      <c r="F450" s="234"/>
      <c r="G450" s="216"/>
      <c r="H450" s="216">
        <v>76850582</v>
      </c>
      <c r="I450" s="241"/>
      <c r="J450" s="216">
        <v>288455794</v>
      </c>
      <c r="K450" s="276"/>
    </row>
    <row r="451" spans="1:11" s="195" customFormat="1" ht="15">
      <c r="A451" s="214"/>
      <c r="B451" s="199" t="s">
        <v>610</v>
      </c>
      <c r="C451" s="216"/>
      <c r="D451" s="234"/>
      <c r="E451" s="216"/>
      <c r="F451" s="234"/>
      <c r="G451" s="216"/>
      <c r="H451" s="216">
        <v>88061</v>
      </c>
      <c r="I451" s="241"/>
      <c r="J451" s="216">
        <v>4612675</v>
      </c>
      <c r="K451" s="276"/>
    </row>
    <row r="452" spans="1:11" s="195" customFormat="1" ht="15">
      <c r="A452" s="214"/>
      <c r="B452" s="199" t="s">
        <v>611</v>
      </c>
      <c r="C452" s="216"/>
      <c r="D452" s="234"/>
      <c r="E452" s="216"/>
      <c r="F452" s="234"/>
      <c r="G452" s="216"/>
      <c r="H452" s="216">
        <v>76891467</v>
      </c>
      <c r="I452" s="241"/>
      <c r="J452" s="216">
        <v>51404594</v>
      </c>
      <c r="K452" s="276"/>
    </row>
    <row r="453" spans="1:11" s="195" customFormat="1" ht="15">
      <c r="A453" s="214"/>
      <c r="B453" s="199" t="s">
        <v>612</v>
      </c>
      <c r="C453" s="216"/>
      <c r="D453" s="234"/>
      <c r="E453" s="216"/>
      <c r="F453" s="234"/>
      <c r="G453" s="216"/>
      <c r="H453" s="216">
        <v>10388852</v>
      </c>
      <c r="I453" s="241"/>
      <c r="J453" s="216">
        <v>41650487</v>
      </c>
      <c r="K453" s="276"/>
    </row>
    <row r="454" spans="1:11" s="195" customFormat="1" ht="15">
      <c r="A454" s="214"/>
      <c r="B454" s="199" t="s">
        <v>613</v>
      </c>
      <c r="C454" s="216"/>
      <c r="D454" s="234"/>
      <c r="E454" s="216"/>
      <c r="F454" s="234"/>
      <c r="G454" s="216"/>
      <c r="H454" s="216">
        <v>1923250</v>
      </c>
      <c r="I454" s="241"/>
      <c r="J454" s="216">
        <v>82346577</v>
      </c>
      <c r="K454" s="276"/>
    </row>
    <row r="455" spans="1:11" s="195" customFormat="1" ht="15">
      <c r="A455" s="214"/>
      <c r="B455" s="199" t="s">
        <v>748</v>
      </c>
      <c r="C455" s="216"/>
      <c r="D455" s="234"/>
      <c r="E455" s="216"/>
      <c r="F455" s="234"/>
      <c r="G455" s="216"/>
      <c r="H455" s="216">
        <v>269611</v>
      </c>
      <c r="I455" s="241"/>
      <c r="J455" s="216">
        <v>0</v>
      </c>
      <c r="K455" s="276"/>
    </row>
    <row r="456" spans="1:11" s="195" customFormat="1" ht="15">
      <c r="A456" s="214"/>
      <c r="B456" s="199" t="s">
        <v>749</v>
      </c>
      <c r="C456" s="216"/>
      <c r="D456" s="234"/>
      <c r="E456" s="216"/>
      <c r="F456" s="234"/>
      <c r="G456" s="216"/>
      <c r="H456" s="216">
        <v>1956343</v>
      </c>
      <c r="I456" s="241"/>
      <c r="J456" s="216">
        <v>0</v>
      </c>
      <c r="K456" s="276"/>
    </row>
    <row r="457" spans="1:11" s="195" customFormat="1" ht="15">
      <c r="A457" s="214"/>
      <c r="B457" s="199" t="s">
        <v>750</v>
      </c>
      <c r="C457" s="216"/>
      <c r="D457" s="234"/>
      <c r="E457" s="216"/>
      <c r="F457" s="234"/>
      <c r="G457" s="216"/>
      <c r="H457" s="216">
        <v>73032</v>
      </c>
      <c r="I457" s="241"/>
      <c r="J457" s="216">
        <v>0</v>
      </c>
      <c r="K457" s="276"/>
    </row>
    <row r="458" spans="1:11" s="195" customFormat="1" ht="15">
      <c r="A458" s="214"/>
      <c r="B458" s="199" t="s">
        <v>614</v>
      </c>
      <c r="C458" s="216"/>
      <c r="D458" s="234"/>
      <c r="E458" s="216"/>
      <c r="F458" s="234"/>
      <c r="G458" s="216"/>
      <c r="H458" s="216">
        <f>J458</f>
        <v>4689850000</v>
      </c>
      <c r="I458" s="241"/>
      <c r="J458" s="216">
        <v>4689850000</v>
      </c>
      <c r="K458" s="276"/>
    </row>
    <row r="459" spans="1:11" s="195" customFormat="1" ht="15">
      <c r="A459" s="214"/>
      <c r="B459" s="199" t="s">
        <v>615</v>
      </c>
      <c r="C459" s="216"/>
      <c r="D459" s="234"/>
      <c r="E459" s="216"/>
      <c r="F459" s="234"/>
      <c r="G459" s="216"/>
      <c r="H459" s="216">
        <v>346675000</v>
      </c>
      <c r="I459" s="241"/>
      <c r="J459" s="216">
        <v>496675000</v>
      </c>
      <c r="K459" s="276"/>
    </row>
    <row r="460" spans="1:11" s="195" customFormat="1" ht="15">
      <c r="A460" s="214"/>
      <c r="B460" s="199" t="s">
        <v>616</v>
      </c>
      <c r="C460" s="216"/>
      <c r="D460" s="234"/>
      <c r="E460" s="216"/>
      <c r="F460" s="234"/>
      <c r="G460" s="216"/>
      <c r="H460" s="216">
        <v>0</v>
      </c>
      <c r="I460" s="241"/>
      <c r="J460" s="216">
        <v>9004800</v>
      </c>
      <c r="K460" s="276"/>
    </row>
    <row r="461" spans="1:11" s="195" customFormat="1" ht="15">
      <c r="A461" s="214"/>
      <c r="B461" s="199" t="s">
        <v>617</v>
      </c>
      <c r="C461" s="216"/>
      <c r="D461" s="234"/>
      <c r="E461" s="216"/>
      <c r="F461" s="234"/>
      <c r="G461" s="216"/>
      <c r="H461" s="216">
        <f>J461</f>
        <v>17152100</v>
      </c>
      <c r="I461" s="241"/>
      <c r="J461" s="216">
        <v>17152100</v>
      </c>
      <c r="K461" s="276"/>
    </row>
    <row r="462" spans="1:11" s="195" customFormat="1" ht="15">
      <c r="A462" s="214"/>
      <c r="B462" s="199" t="s">
        <v>618</v>
      </c>
      <c r="C462" s="216"/>
      <c r="D462" s="234"/>
      <c r="E462" s="216"/>
      <c r="F462" s="234"/>
      <c r="G462" s="216"/>
      <c r="H462" s="216">
        <f>J462</f>
        <v>3400000</v>
      </c>
      <c r="I462" s="241"/>
      <c r="J462" s="216">
        <v>3400000</v>
      </c>
      <c r="K462" s="276"/>
    </row>
    <row r="463" spans="1:11" s="195" customFormat="1" ht="15">
      <c r="A463" s="214"/>
      <c r="B463" s="199" t="s">
        <v>751</v>
      </c>
      <c r="C463" s="216"/>
      <c r="D463" s="234"/>
      <c r="E463" s="216"/>
      <c r="F463" s="234"/>
      <c r="G463" s="216"/>
      <c r="H463" s="216">
        <v>270000000</v>
      </c>
      <c r="I463" s="241"/>
      <c r="J463" s="216">
        <v>0</v>
      </c>
      <c r="K463" s="276"/>
    </row>
    <row r="464" spans="1:11" s="195" customFormat="1" ht="15">
      <c r="A464" s="214"/>
      <c r="B464" s="199" t="s">
        <v>752</v>
      </c>
      <c r="C464" s="216"/>
      <c r="D464" s="234"/>
      <c r="E464" s="216"/>
      <c r="F464" s="234"/>
      <c r="G464" s="216"/>
      <c r="H464" s="216">
        <v>1891085080</v>
      </c>
      <c r="I464" s="241"/>
      <c r="J464" s="216">
        <v>0</v>
      </c>
      <c r="K464" s="276"/>
    </row>
    <row r="465" spans="1:11" s="195" customFormat="1" ht="15">
      <c r="A465" s="214"/>
      <c r="B465" s="199" t="s">
        <v>753</v>
      </c>
      <c r="C465" s="216"/>
      <c r="D465" s="234"/>
      <c r="E465" s="216"/>
      <c r="F465" s="234"/>
      <c r="G465" s="216"/>
      <c r="H465" s="216">
        <v>645427005</v>
      </c>
      <c r="I465" s="241"/>
      <c r="J465" s="216">
        <v>0</v>
      </c>
      <c r="K465" s="276"/>
    </row>
    <row r="466" spans="1:13" s="195" customFormat="1" ht="15">
      <c r="A466" s="214"/>
      <c r="B466" s="199" t="s">
        <v>758</v>
      </c>
      <c r="C466" s="216"/>
      <c r="D466" s="234"/>
      <c r="E466" s="216"/>
      <c r="F466" s="234"/>
      <c r="G466" s="216"/>
      <c r="H466" s="216">
        <v>14869264</v>
      </c>
      <c r="I466" s="241"/>
      <c r="J466" s="216"/>
      <c r="K466" s="276"/>
      <c r="M466" s="216"/>
    </row>
    <row r="467" spans="1:13" s="195" customFormat="1" ht="15">
      <c r="A467" s="214"/>
      <c r="B467" s="199"/>
      <c r="C467" s="216"/>
      <c r="D467" s="234"/>
      <c r="E467" s="216"/>
      <c r="F467" s="234"/>
      <c r="G467" s="216"/>
      <c r="H467" s="216"/>
      <c r="I467" s="241"/>
      <c r="J467" s="216"/>
      <c r="K467" s="276"/>
      <c r="M467" s="216">
        <f>M469-H469</f>
        <v>0</v>
      </c>
    </row>
    <row r="468" spans="1:13" s="195" customFormat="1" ht="9" customHeight="1">
      <c r="A468" s="214"/>
      <c r="C468" s="216"/>
      <c r="D468" s="234"/>
      <c r="E468" s="216"/>
      <c r="F468" s="234"/>
      <c r="G468" s="216"/>
      <c r="I468" s="303"/>
      <c r="J468" s="276"/>
      <c r="K468" s="228"/>
      <c r="M468" s="216"/>
    </row>
    <row r="469" spans="1:13" s="195" customFormat="1" ht="15.75" thickBot="1">
      <c r="A469" s="214"/>
      <c r="B469" s="214" t="s">
        <v>398</v>
      </c>
      <c r="C469" s="248"/>
      <c r="D469" s="221"/>
      <c r="E469" s="248"/>
      <c r="F469" s="221"/>
      <c r="G469" s="248"/>
      <c r="H469" s="249">
        <f>SUM(H441:H468)</f>
        <v>8061182104</v>
      </c>
      <c r="I469" s="250"/>
      <c r="J469" s="249">
        <f>SUM(J441:J468)</f>
        <v>6438594764</v>
      </c>
      <c r="K469" s="276"/>
      <c r="M469" s="216">
        <v>8061182104</v>
      </c>
    </row>
    <row r="470" spans="8:13" ht="15.75" thickTop="1">
      <c r="H470" s="228"/>
      <c r="M470" s="252"/>
    </row>
    <row r="471" spans="1:13" s="195" customFormat="1" ht="15">
      <c r="A471" s="214" t="s">
        <v>619</v>
      </c>
      <c r="B471" s="214" t="s">
        <v>620</v>
      </c>
      <c r="C471" s="216"/>
      <c r="D471" s="234"/>
      <c r="E471" s="216"/>
      <c r="F471" s="234"/>
      <c r="G471" s="216"/>
      <c r="H471" s="254">
        <v>39447</v>
      </c>
      <c r="I471" s="219"/>
      <c r="J471" s="217">
        <v>39356</v>
      </c>
      <c r="K471" s="228"/>
      <c r="M471" s="216">
        <v>278964000</v>
      </c>
    </row>
    <row r="472" spans="1:13" s="195" customFormat="1" ht="15">
      <c r="A472" s="214"/>
      <c r="C472" s="216"/>
      <c r="D472" s="234"/>
      <c r="E472" s="216"/>
      <c r="F472" s="234"/>
      <c r="G472" s="216"/>
      <c r="H472" s="222" t="s">
        <v>389</v>
      </c>
      <c r="I472" s="221"/>
      <c r="J472" s="222" t="s">
        <v>389</v>
      </c>
      <c r="K472" s="228"/>
      <c r="M472" s="216">
        <v>68571429</v>
      </c>
    </row>
    <row r="473" spans="1:13" s="195" customFormat="1" ht="9" customHeight="1">
      <c r="A473" s="214"/>
      <c r="C473" s="216"/>
      <c r="D473" s="234"/>
      <c r="E473" s="216"/>
      <c r="F473" s="234"/>
      <c r="G473" s="216"/>
      <c r="H473" s="276"/>
      <c r="I473" s="303"/>
      <c r="J473" s="276"/>
      <c r="K473" s="228"/>
      <c r="M473" s="216">
        <v>50327000</v>
      </c>
    </row>
    <row r="474" spans="1:11" s="195" customFormat="1" ht="17.25" customHeight="1">
      <c r="A474" s="214"/>
      <c r="B474" s="195" t="s">
        <v>738</v>
      </c>
      <c r="C474" s="216"/>
      <c r="D474" s="234"/>
      <c r="E474" s="216"/>
      <c r="F474" s="234"/>
      <c r="G474" s="216"/>
      <c r="H474" s="276">
        <v>27500000</v>
      </c>
      <c r="I474" s="303"/>
      <c r="J474" s="276">
        <v>0</v>
      </c>
      <c r="K474" s="228"/>
    </row>
    <row r="475" spans="1:11" s="195" customFormat="1" ht="15">
      <c r="A475" s="214"/>
      <c r="B475" s="199" t="s">
        <v>621</v>
      </c>
      <c r="C475" s="216"/>
      <c r="D475" s="234"/>
      <c r="E475" s="216"/>
      <c r="F475" s="234"/>
      <c r="G475" s="216"/>
      <c r="H475" s="284">
        <f>J475-25000000</f>
        <v>1490000000</v>
      </c>
      <c r="I475" s="241"/>
      <c r="J475" s="284">
        <v>1515000000</v>
      </c>
      <c r="K475" s="228"/>
    </row>
    <row r="476" spans="1:11" s="195" customFormat="1" ht="15">
      <c r="A476" s="214"/>
      <c r="B476" s="199" t="s">
        <v>622</v>
      </c>
      <c r="C476" s="216"/>
      <c r="D476" s="234"/>
      <c r="E476" s="216"/>
      <c r="F476" s="234"/>
      <c r="G476" s="216"/>
      <c r="H476" s="284">
        <f>J476</f>
        <v>15000000</v>
      </c>
      <c r="I476" s="241"/>
      <c r="J476" s="284">
        <v>15000000</v>
      </c>
      <c r="K476" s="228"/>
    </row>
    <row r="477" spans="1:11" s="195" customFormat="1" ht="15">
      <c r="A477" s="214"/>
      <c r="B477" s="199" t="s">
        <v>623</v>
      </c>
      <c r="C477" s="216"/>
      <c r="D477" s="234"/>
      <c r="E477" s="216"/>
      <c r="F477" s="234"/>
      <c r="G477" s="216"/>
      <c r="H477" s="284">
        <f>J477</f>
        <v>10000000</v>
      </c>
      <c r="I477" s="241"/>
      <c r="J477" s="284">
        <v>10000000</v>
      </c>
      <c r="K477" s="228"/>
    </row>
    <row r="478" spans="1:11" s="195" customFormat="1" ht="15">
      <c r="A478" s="214"/>
      <c r="B478" s="199" t="s">
        <v>624</v>
      </c>
      <c r="C478" s="216"/>
      <c r="D478" s="234"/>
      <c r="E478" s="216"/>
      <c r="F478" s="234"/>
      <c r="G478" s="216"/>
      <c r="H478" s="284">
        <f>J478</f>
        <v>100000000</v>
      </c>
      <c r="I478" s="241"/>
      <c r="J478" s="284">
        <v>100000000</v>
      </c>
      <c r="K478" s="228"/>
    </row>
    <row r="479" spans="1:11" s="195" customFormat="1" ht="15">
      <c r="A479" s="214"/>
      <c r="B479" s="199" t="s">
        <v>625</v>
      </c>
      <c r="C479" s="216"/>
      <c r="D479" s="234"/>
      <c r="E479" s="216"/>
      <c r="F479" s="234"/>
      <c r="G479" s="216"/>
      <c r="H479" s="284">
        <f>J479</f>
        <v>15000000</v>
      </c>
      <c r="I479" s="241"/>
      <c r="J479" s="284">
        <v>15000000</v>
      </c>
      <c r="K479" s="228"/>
    </row>
    <row r="480" spans="1:11" s="195" customFormat="1" ht="15">
      <c r="A480" s="214"/>
      <c r="B480" s="199" t="s">
        <v>626</v>
      </c>
      <c r="C480" s="216"/>
      <c r="D480" s="234"/>
      <c r="E480" s="216"/>
      <c r="F480" s="234"/>
      <c r="G480" s="216"/>
      <c r="H480" s="284">
        <f>J480</f>
        <v>5000000</v>
      </c>
      <c r="I480" s="241"/>
      <c r="J480" s="284">
        <v>5000000</v>
      </c>
      <c r="K480" s="228"/>
    </row>
    <row r="481" spans="1:11" s="195" customFormat="1" ht="15">
      <c r="A481" s="214"/>
      <c r="B481" s="199" t="s">
        <v>627</v>
      </c>
      <c r="C481" s="216"/>
      <c r="D481" s="234"/>
      <c r="E481" s="216"/>
      <c r="F481" s="234"/>
      <c r="G481" s="216"/>
      <c r="H481" s="284">
        <v>0</v>
      </c>
      <c r="I481" s="241"/>
      <c r="J481" s="284">
        <v>3000000</v>
      </c>
      <c r="K481" s="228"/>
    </row>
    <row r="482" spans="1:11" s="195" customFormat="1" ht="15">
      <c r="A482" s="214"/>
      <c r="B482" s="199" t="s">
        <v>628</v>
      </c>
      <c r="C482" s="216"/>
      <c r="D482" s="234"/>
      <c r="E482" s="216"/>
      <c r="F482" s="234"/>
      <c r="G482" s="216"/>
      <c r="H482" s="284">
        <v>0</v>
      </c>
      <c r="I482" s="241"/>
      <c r="J482" s="284">
        <v>3000000</v>
      </c>
      <c r="K482" s="228"/>
    </row>
    <row r="483" spans="1:11" s="195" customFormat="1" ht="15">
      <c r="A483" s="214"/>
      <c r="B483" s="199" t="s">
        <v>402</v>
      </c>
      <c r="C483" s="216"/>
      <c r="D483" s="234"/>
      <c r="E483" s="216"/>
      <c r="F483" s="234"/>
      <c r="G483" s="216"/>
      <c r="H483" s="284">
        <f>J483-200000000</f>
        <v>5800000000</v>
      </c>
      <c r="I483" s="241"/>
      <c r="J483" s="284">
        <v>6000000000</v>
      </c>
      <c r="K483" s="228"/>
    </row>
    <row r="484" spans="1:11" s="195" customFormat="1" ht="9" customHeight="1">
      <c r="A484" s="214"/>
      <c r="C484" s="216"/>
      <c r="D484" s="234"/>
      <c r="E484" s="216"/>
      <c r="F484" s="234"/>
      <c r="G484" s="216"/>
      <c r="H484" s="276"/>
      <c r="I484" s="303"/>
      <c r="J484" s="276"/>
      <c r="K484" s="228"/>
    </row>
    <row r="485" spans="1:11" s="195" customFormat="1" ht="15.75" thickBot="1">
      <c r="A485" s="214"/>
      <c r="B485" s="214" t="s">
        <v>398</v>
      </c>
      <c r="C485" s="248"/>
      <c r="D485" s="221"/>
      <c r="E485" s="248"/>
      <c r="F485" s="221"/>
      <c r="G485" s="248"/>
      <c r="H485" s="249">
        <f>SUM(H474:H484)</f>
        <v>7462500000</v>
      </c>
      <c r="I485" s="250"/>
      <c r="J485" s="249">
        <f>SUM(J475:J484)</f>
        <v>7666000000</v>
      </c>
      <c r="K485" s="228"/>
    </row>
    <row r="486" spans="1:11" s="214" customFormat="1" ht="15.75" thickTop="1">
      <c r="A486" s="214" t="s">
        <v>629</v>
      </c>
      <c r="B486" s="214" t="s">
        <v>630</v>
      </c>
      <c r="C486" s="248"/>
      <c r="D486" s="221"/>
      <c r="E486" s="248"/>
      <c r="F486" s="221"/>
      <c r="G486" s="248"/>
      <c r="H486" s="254">
        <v>39447</v>
      </c>
      <c r="I486" s="219"/>
      <c r="J486" s="217">
        <v>39356</v>
      </c>
      <c r="K486" s="459"/>
    </row>
    <row r="487" spans="1:11" s="195" customFormat="1" ht="15">
      <c r="A487" s="214"/>
      <c r="C487" s="216"/>
      <c r="D487" s="234"/>
      <c r="E487" s="216"/>
      <c r="F487" s="234"/>
      <c r="G487" s="216"/>
      <c r="H487" s="222" t="s">
        <v>389</v>
      </c>
      <c r="I487" s="221"/>
      <c r="J487" s="222" t="s">
        <v>389</v>
      </c>
      <c r="K487" s="228"/>
    </row>
    <row r="488" spans="1:11" s="195" customFormat="1" ht="9" customHeight="1">
      <c r="A488" s="214"/>
      <c r="C488" s="216"/>
      <c r="D488" s="234"/>
      <c r="E488" s="216"/>
      <c r="F488" s="234"/>
      <c r="G488" s="216"/>
      <c r="H488" s="276"/>
      <c r="I488" s="303"/>
      <c r="J488" s="276"/>
      <c r="K488" s="228"/>
    </row>
    <row r="489" spans="1:11" s="269" customFormat="1" ht="15">
      <c r="A489" s="270"/>
      <c r="B489" s="328" t="s">
        <v>631</v>
      </c>
      <c r="C489" s="266"/>
      <c r="D489" s="267"/>
      <c r="E489" s="266"/>
      <c r="F489" s="267"/>
      <c r="G489" s="266"/>
      <c r="H489" s="318">
        <v>537243343</v>
      </c>
      <c r="I489" s="282"/>
      <c r="J489" s="318">
        <f>865123328+42656837</f>
        <v>907780165</v>
      </c>
      <c r="K489" s="466"/>
    </row>
    <row r="490" spans="1:11" s="269" customFormat="1" ht="15">
      <c r="A490" s="270"/>
      <c r="B490" s="328" t="s">
        <v>632</v>
      </c>
      <c r="C490" s="266"/>
      <c r="D490" s="267"/>
      <c r="E490" s="266"/>
      <c r="F490" s="267"/>
      <c r="G490" s="266"/>
      <c r="H490" s="318">
        <v>509046565</v>
      </c>
      <c r="I490" s="282"/>
      <c r="J490" s="318">
        <v>438414318</v>
      </c>
      <c r="K490" s="466"/>
    </row>
    <row r="491" spans="1:11" s="269" customFormat="1" ht="15">
      <c r="A491" s="270"/>
      <c r="B491" s="328" t="s">
        <v>633</v>
      </c>
      <c r="C491" s="266"/>
      <c r="D491" s="267"/>
      <c r="E491" s="266"/>
      <c r="F491" s="267"/>
      <c r="G491" s="266"/>
      <c r="H491" s="318">
        <v>134741109</v>
      </c>
      <c r="I491" s="282"/>
      <c r="J491" s="318">
        <v>142016637</v>
      </c>
      <c r="K491" s="466"/>
    </row>
    <row r="492" spans="1:13" s="195" customFormat="1" ht="15">
      <c r="A492" s="214"/>
      <c r="B492" s="328" t="s">
        <v>634</v>
      </c>
      <c r="C492" s="216"/>
      <c r="D492" s="234"/>
      <c r="E492" s="216"/>
      <c r="F492" s="234"/>
      <c r="G492" s="216"/>
      <c r="H492" s="284">
        <v>630944</v>
      </c>
      <c r="I492" s="241"/>
      <c r="J492" s="284">
        <f>34500000+4002443</f>
        <v>38502443</v>
      </c>
      <c r="K492" s="228"/>
      <c r="M492" s="461"/>
    </row>
    <row r="493" spans="1:13" s="195" customFormat="1" ht="15">
      <c r="A493" s="214"/>
      <c r="B493" s="328" t="s">
        <v>635</v>
      </c>
      <c r="C493" s="216"/>
      <c r="D493" s="234"/>
      <c r="E493" s="216"/>
      <c r="F493" s="234"/>
      <c r="G493" s="216"/>
      <c r="H493" s="284">
        <v>0</v>
      </c>
      <c r="I493" s="241"/>
      <c r="J493" s="284">
        <f>4572000+79786141+68178293+92117736+2078739+69576427+4650000-18496736-300000000</f>
        <v>2462600</v>
      </c>
      <c r="K493" s="228"/>
      <c r="M493" s="461"/>
    </row>
    <row r="494" spans="1:11" s="195" customFormat="1" ht="15">
      <c r="A494" s="214"/>
      <c r="B494" s="328" t="s">
        <v>636</v>
      </c>
      <c r="C494" s="216"/>
      <c r="D494" s="234"/>
      <c r="E494" s="216"/>
      <c r="F494" s="234"/>
      <c r="G494" s="216"/>
      <c r="H494" s="284">
        <f>'[3]Sheet2'!$E$72-H490-H491-H492-H489+6133000+110327200</f>
        <v>587300635</v>
      </c>
      <c r="I494" s="241"/>
      <c r="J494" s="284">
        <f>124881482+15126520+10115176+167276145+28273243+64112182-225962455</f>
        <v>183822293</v>
      </c>
      <c r="K494" s="228"/>
    </row>
    <row r="495" spans="1:11" s="195" customFormat="1" ht="9" customHeight="1">
      <c r="A495" s="214"/>
      <c r="C495" s="216"/>
      <c r="D495" s="234"/>
      <c r="E495" s="216"/>
      <c r="F495" s="234"/>
      <c r="G495" s="216"/>
      <c r="H495" s="276"/>
      <c r="I495" s="303"/>
      <c r="J495" s="276"/>
      <c r="K495" s="228"/>
    </row>
    <row r="496" spans="1:11" s="195" customFormat="1" ht="15.75" thickBot="1">
      <c r="A496" s="214"/>
      <c r="B496" s="214" t="s">
        <v>398</v>
      </c>
      <c r="C496" s="248"/>
      <c r="D496" s="221"/>
      <c r="E496" s="248"/>
      <c r="F496" s="221"/>
      <c r="G496" s="248"/>
      <c r="H496" s="249">
        <f>SUM(H489:H495)</f>
        <v>1768962596</v>
      </c>
      <c r="I496" s="250"/>
      <c r="J496" s="249">
        <f>SUM(J489:J495)</f>
        <v>1712998456</v>
      </c>
      <c r="K496" s="228"/>
    </row>
    <row r="497" spans="8:13" ht="15.75" thickTop="1">
      <c r="H497" s="228"/>
      <c r="M497" s="467"/>
    </row>
    <row r="498" ht="15">
      <c r="H498" s="228"/>
    </row>
    <row r="499" ht="15">
      <c r="H499" s="228"/>
    </row>
    <row r="500" spans="1:11" s="240" customFormat="1" ht="15">
      <c r="A500" s="214" t="s">
        <v>637</v>
      </c>
      <c r="B500" s="468" t="s">
        <v>638</v>
      </c>
      <c r="C500" s="469"/>
      <c r="D500" s="469"/>
      <c r="E500" s="469"/>
      <c r="F500" s="469"/>
      <c r="G500" s="469"/>
      <c r="H500" s="469"/>
      <c r="I500" s="469"/>
      <c r="J500" s="470"/>
      <c r="K500" s="470"/>
    </row>
    <row r="501" spans="1:11" s="195" customFormat="1" ht="15">
      <c r="A501" s="471"/>
      <c r="B501" s="586" t="s">
        <v>639</v>
      </c>
      <c r="C501" s="586"/>
      <c r="D501" s="586"/>
      <c r="E501" s="586" t="s">
        <v>640</v>
      </c>
      <c r="F501" s="586"/>
      <c r="G501" s="587">
        <f>H486</f>
        <v>39447</v>
      </c>
      <c r="H501" s="588"/>
      <c r="I501" s="589">
        <v>39356</v>
      </c>
      <c r="J501" s="589"/>
      <c r="K501" s="209"/>
    </row>
    <row r="502" spans="1:11" s="195" customFormat="1" ht="15">
      <c r="A502" s="471"/>
      <c r="B502" s="590" t="s">
        <v>641</v>
      </c>
      <c r="C502" s="590"/>
      <c r="D502" s="590"/>
      <c r="E502" s="473"/>
      <c r="F502" s="474"/>
      <c r="G502" s="475"/>
      <c r="H502" s="476"/>
      <c r="I502" s="475"/>
      <c r="J502" s="476"/>
      <c r="K502" s="472"/>
    </row>
    <row r="503" spans="1:11" s="240" customFormat="1" ht="15">
      <c r="A503" s="469"/>
      <c r="B503" s="591" t="s">
        <v>642</v>
      </c>
      <c r="C503" s="591"/>
      <c r="D503" s="591"/>
      <c r="E503" s="477"/>
      <c r="F503" s="478"/>
      <c r="G503" s="479"/>
      <c r="H503" s="480"/>
      <c r="I503" s="479"/>
      <c r="J503" s="480"/>
      <c r="K503" s="481"/>
    </row>
    <row r="504" spans="1:11" s="195" customFormat="1" ht="14.25">
      <c r="A504" s="471"/>
      <c r="B504" s="592" t="s">
        <v>643</v>
      </c>
      <c r="C504" s="592"/>
      <c r="D504" s="592"/>
      <c r="E504" s="482"/>
      <c r="F504" s="483" t="s">
        <v>644</v>
      </c>
      <c r="G504" s="484">
        <v>91.56617455656492</v>
      </c>
      <c r="H504" s="485">
        <f>8225437109/28130176453*100</f>
        <v>29.240616825646615</v>
      </c>
      <c r="I504" s="486"/>
      <c r="J504" s="485">
        <f>+(13473414112+29266849274)/(28176416518+30615134933)*100</f>
        <v>72.69796821337842</v>
      </c>
      <c r="K504" s="487"/>
    </row>
    <row r="505" spans="1:11" s="195" customFormat="1" ht="14.25">
      <c r="A505" s="471"/>
      <c r="B505" s="592" t="s">
        <v>645</v>
      </c>
      <c r="C505" s="592"/>
      <c r="D505" s="592"/>
      <c r="E505" s="482"/>
      <c r="F505" s="483" t="s">
        <v>644</v>
      </c>
      <c r="G505" s="484">
        <f>100-G504</f>
        <v>8.433825443435083</v>
      </c>
      <c r="H505" s="485">
        <f>19904739344/28130176453*100</f>
        <v>70.75938317435339</v>
      </c>
      <c r="I505" s="488"/>
      <c r="J505" s="485">
        <f>100-J504</f>
        <v>27.302031786621583</v>
      </c>
      <c r="K505" s="487"/>
    </row>
    <row r="506" spans="1:11" s="195" customFormat="1" ht="14.25">
      <c r="A506" s="471"/>
      <c r="B506" s="593"/>
      <c r="C506" s="594"/>
      <c r="D506" s="595"/>
      <c r="E506" s="489"/>
      <c r="F506" s="483"/>
      <c r="G506" s="484"/>
      <c r="H506" s="485"/>
      <c r="I506" s="486"/>
      <c r="J506" s="485"/>
      <c r="K506" s="487"/>
    </row>
    <row r="507" spans="1:11" s="240" customFormat="1" ht="15">
      <c r="A507" s="469"/>
      <c r="B507" s="591" t="s">
        <v>646</v>
      </c>
      <c r="C507" s="591"/>
      <c r="D507" s="591"/>
      <c r="E507" s="477"/>
      <c r="F507" s="478"/>
      <c r="G507" s="490"/>
      <c r="H507" s="485"/>
      <c r="I507" s="491"/>
      <c r="J507" s="485"/>
      <c r="K507" s="481"/>
    </row>
    <row r="508" spans="1:11" s="195" customFormat="1" ht="14.25">
      <c r="A508" s="471"/>
      <c r="B508" s="592" t="s">
        <v>647</v>
      </c>
      <c r="C508" s="592"/>
      <c r="D508" s="592"/>
      <c r="E508" s="482"/>
      <c r="F508" s="483" t="s">
        <v>644</v>
      </c>
      <c r="G508" s="492">
        <v>94.92187040134976</v>
      </c>
      <c r="H508" s="485">
        <f>12755278089/24856775127*100</f>
        <v>51.31509628191843</v>
      </c>
      <c r="I508" s="493"/>
      <c r="J508" s="485">
        <f>+(17049435557+16552042864)/(28176416518+30615134933)*100</f>
        <v>57.15358345153598</v>
      </c>
      <c r="K508" s="487"/>
    </row>
    <row r="509" spans="1:11" s="195" customFormat="1" ht="14.25">
      <c r="A509" s="471"/>
      <c r="B509" s="592" t="s">
        <v>648</v>
      </c>
      <c r="C509" s="592"/>
      <c r="D509" s="592"/>
      <c r="E509" s="482"/>
      <c r="F509" s="483" t="s">
        <v>644</v>
      </c>
      <c r="G509" s="492">
        <f>100-G508</f>
        <v>5.078129598650236</v>
      </c>
      <c r="H509" s="494">
        <f>12101497039/24856775127*100</f>
        <v>48.68490372210463</v>
      </c>
      <c r="I509" s="493"/>
      <c r="J509" s="494">
        <f>100-J508</f>
        <v>42.84641654846402</v>
      </c>
      <c r="K509" s="487"/>
    </row>
    <row r="510" spans="1:11" s="195" customFormat="1" ht="15">
      <c r="A510" s="471"/>
      <c r="B510" s="590" t="s">
        <v>649</v>
      </c>
      <c r="C510" s="590"/>
      <c r="D510" s="590"/>
      <c r="E510" s="482"/>
      <c r="F510" s="495"/>
      <c r="G510" s="496"/>
      <c r="H510" s="494"/>
      <c r="I510" s="497"/>
      <c r="J510" s="494"/>
      <c r="K510" s="472"/>
    </row>
    <row r="511" spans="1:11" s="195" customFormat="1" ht="29.25" customHeight="1">
      <c r="A511" s="471"/>
      <c r="B511" s="596" t="s">
        <v>650</v>
      </c>
      <c r="C511" s="596"/>
      <c r="D511" s="596"/>
      <c r="E511" s="482"/>
      <c r="F511" s="498" t="s">
        <v>651</v>
      </c>
      <c r="G511" s="499">
        <v>1.0534979934253175</v>
      </c>
      <c r="H511" s="494">
        <f>28130176453/16028679415</f>
        <v>1.754990272416026</v>
      </c>
      <c r="I511" s="500"/>
      <c r="J511" s="494">
        <f>+(28176416518+30615134933)/(17049435557+16552042864)</f>
        <v>1.7496715684467292</v>
      </c>
      <c r="K511" s="487"/>
    </row>
    <row r="512" spans="1:11" s="195" customFormat="1" ht="28.5" customHeight="1">
      <c r="A512" s="471"/>
      <c r="B512" s="596" t="s">
        <v>652</v>
      </c>
      <c r="C512" s="596"/>
      <c r="D512" s="596"/>
      <c r="E512" s="482"/>
      <c r="F512" s="498" t="s">
        <v>651</v>
      </c>
      <c r="G512" s="499">
        <v>1.0315440959186686</v>
      </c>
      <c r="H512" s="494">
        <f>8225437109/16028679415</f>
        <v>0.5131699808845419</v>
      </c>
      <c r="I512" s="500"/>
      <c r="J512" s="494">
        <f>+(13473414112+29266849274)/(16977912557+15213619864)</f>
        <v>1.3276865116902166</v>
      </c>
      <c r="K512" s="487"/>
    </row>
    <row r="513" spans="1:11" s="195" customFormat="1" ht="28.5" customHeight="1">
      <c r="A513" s="501"/>
      <c r="B513" s="597" t="s">
        <v>653</v>
      </c>
      <c r="C513" s="598"/>
      <c r="D513" s="599"/>
      <c r="E513" s="482"/>
      <c r="F513" s="498" t="s">
        <v>651</v>
      </c>
      <c r="G513" s="499">
        <v>0.030174877729988576</v>
      </c>
      <c r="H513" s="494">
        <f>394251499/16028679415</f>
        <v>0.024596630127311083</v>
      </c>
      <c r="I513" s="500"/>
      <c r="J513" s="494">
        <f>+(1155966641+676823832)/(16977912557+15213619864)</f>
        <v>0.056933930607304284</v>
      </c>
      <c r="K513" s="487"/>
    </row>
    <row r="514" spans="1:11" s="195" customFormat="1" ht="14.25">
      <c r="A514" s="501"/>
      <c r="B514" s="600"/>
      <c r="C514" s="601"/>
      <c r="D514" s="602"/>
      <c r="E514" s="489"/>
      <c r="F514" s="483"/>
      <c r="G514" s="488"/>
      <c r="H514" s="494"/>
      <c r="I514" s="502"/>
      <c r="J514" s="494"/>
      <c r="K514" s="487"/>
    </row>
    <row r="515" spans="1:11" s="195" customFormat="1" ht="15">
      <c r="A515" s="501"/>
      <c r="B515" s="603" t="s">
        <v>654</v>
      </c>
      <c r="C515" s="604"/>
      <c r="D515" s="605"/>
      <c r="E515" s="482"/>
      <c r="F515" s="495"/>
      <c r="G515" s="496"/>
      <c r="H515" s="494"/>
      <c r="I515" s="503"/>
      <c r="J515" s="494"/>
      <c r="K515" s="472"/>
    </row>
    <row r="516" spans="1:11" s="195" customFormat="1" ht="14.25">
      <c r="A516" s="471"/>
      <c r="B516" s="591" t="s">
        <v>655</v>
      </c>
      <c r="C516" s="592"/>
      <c r="D516" s="592"/>
      <c r="E516" s="482"/>
      <c r="F516" s="495"/>
      <c r="G516" s="496"/>
      <c r="H516" s="494"/>
      <c r="I516" s="497"/>
      <c r="J516" s="494"/>
      <c r="K516" s="472"/>
    </row>
    <row r="517" spans="1:11" s="195" customFormat="1" ht="14.25">
      <c r="A517" s="471"/>
      <c r="B517" s="592" t="s">
        <v>656</v>
      </c>
      <c r="C517" s="592"/>
      <c r="D517" s="592"/>
      <c r="E517" s="482"/>
      <c r="F517" s="504" t="s">
        <v>644</v>
      </c>
      <c r="G517" s="492">
        <v>0.29640690744952614</v>
      </c>
      <c r="H517" s="494">
        <f>995223000/2848642780*100</f>
        <v>34.93674275298218</v>
      </c>
      <c r="I517" s="493"/>
      <c r="J517" s="494">
        <f>1158480961/(4423425444+221017172+284620278)*100</f>
        <v>23.50306713290642</v>
      </c>
      <c r="K517" s="505"/>
    </row>
    <row r="518" spans="1:11" s="195" customFormat="1" ht="14.25">
      <c r="A518" s="471"/>
      <c r="B518" s="592" t="s">
        <v>657</v>
      </c>
      <c r="C518" s="592"/>
      <c r="D518" s="592"/>
      <c r="E518" s="482"/>
      <c r="F518" s="504" t="s">
        <v>644</v>
      </c>
      <c r="G518" s="492">
        <f>G517</f>
        <v>0.29640690744952614</v>
      </c>
      <c r="H518" s="494">
        <f>974516078/2848642780*100</f>
        <v>34.209837921482034</v>
      </c>
      <c r="I518" s="493"/>
      <c r="J518" s="494">
        <f>1126980961/(4423425444+221017172+284620278)*100</f>
        <v>22.86400042433705</v>
      </c>
      <c r="K518" s="505"/>
    </row>
    <row r="519" spans="1:11" s="195" customFormat="1" ht="14.25">
      <c r="A519" s="471"/>
      <c r="B519" s="593"/>
      <c r="C519" s="594"/>
      <c r="D519" s="595"/>
      <c r="E519" s="489"/>
      <c r="F519" s="483"/>
      <c r="G519" s="492"/>
      <c r="H519" s="494"/>
      <c r="I519" s="493"/>
      <c r="J519" s="494"/>
      <c r="K519" s="505"/>
    </row>
    <row r="520" spans="1:11" s="195" customFormat="1" ht="14.25">
      <c r="A520" s="471"/>
      <c r="B520" s="591" t="s">
        <v>658</v>
      </c>
      <c r="C520" s="591"/>
      <c r="D520" s="591"/>
      <c r="E520" s="482"/>
      <c r="F520" s="495"/>
      <c r="G520" s="506"/>
      <c r="H520" s="494"/>
      <c r="I520" s="507"/>
      <c r="J520" s="494"/>
      <c r="K520" s="472"/>
    </row>
    <row r="521" spans="1:11" s="195" customFormat="1" ht="14.25">
      <c r="A521" s="471"/>
      <c r="B521" s="592" t="s">
        <v>659</v>
      </c>
      <c r="C521" s="592"/>
      <c r="D521" s="592"/>
      <c r="E521" s="482"/>
      <c r="F521" s="504" t="s">
        <v>644</v>
      </c>
      <c r="G521" s="492">
        <v>0.11305950515994309</v>
      </c>
      <c r="H521" s="485">
        <f>995223000/28130176453*100</f>
        <v>3.53791950670065</v>
      </c>
      <c r="I521" s="493"/>
      <c r="J521" s="485">
        <f>+(1158480961/(28176416518+30615134933)/2*100)</f>
        <v>0.9852444206762765</v>
      </c>
      <c r="K521" s="505"/>
    </row>
    <row r="522" spans="1:11" s="195" customFormat="1" ht="14.25">
      <c r="A522" s="471"/>
      <c r="B522" s="508" t="s">
        <v>660</v>
      </c>
      <c r="C522" s="509"/>
      <c r="D522" s="511"/>
      <c r="E522" s="482"/>
      <c r="F522" s="504" t="s">
        <v>644</v>
      </c>
      <c r="G522" s="492">
        <v>0.11305950515994309</v>
      </c>
      <c r="H522" s="485">
        <f>974516078/28130176453*100</f>
        <v>3.464308443383656</v>
      </c>
      <c r="I522" s="493"/>
      <c r="J522" s="485">
        <f>1126980961/(28176416518+30615134933)/2*100</f>
        <v>0.9584548571909058</v>
      </c>
      <c r="K522" s="505"/>
    </row>
    <row r="523" spans="1:11" s="195" customFormat="1" ht="14.25">
      <c r="A523" s="471"/>
      <c r="B523" s="593"/>
      <c r="C523" s="594"/>
      <c r="D523" s="595"/>
      <c r="E523" s="489"/>
      <c r="F523" s="483"/>
      <c r="G523" s="492"/>
      <c r="H523" s="494"/>
      <c r="I523" s="493"/>
      <c r="J523" s="494"/>
      <c r="K523" s="505"/>
    </row>
    <row r="524" spans="1:11" s="214" customFormat="1" ht="15">
      <c r="A524" s="512"/>
      <c r="B524" s="608" t="s">
        <v>661</v>
      </c>
      <c r="C524" s="608"/>
      <c r="D524" s="608"/>
      <c r="E524" s="513"/>
      <c r="F524" s="514" t="s">
        <v>644</v>
      </c>
      <c r="G524" s="515">
        <f>G521</f>
        <v>0.11305950515994309</v>
      </c>
      <c r="H524" s="516">
        <f>974516078/12101497039*100</f>
        <v>8.052855567037586</v>
      </c>
      <c r="I524" s="517"/>
      <c r="J524" s="516">
        <f>+(1126980961/(11126980961+14063092069)/2*100)</f>
        <v>2.2369545329579377</v>
      </c>
      <c r="K524" s="518"/>
    </row>
    <row r="525" spans="1:11" s="195" customFormat="1" ht="14.25">
      <c r="A525" s="471"/>
      <c r="B525" s="509"/>
      <c r="C525" s="509"/>
      <c r="D525" s="509"/>
      <c r="E525" s="519"/>
      <c r="F525" s="519"/>
      <c r="G525" s="488"/>
      <c r="H525" s="488"/>
      <c r="I525" s="488"/>
      <c r="J525" s="488"/>
      <c r="K525" s="505"/>
    </row>
    <row r="526" spans="2:11" s="195" customFormat="1" ht="14.25">
      <c r="B526" s="520"/>
      <c r="C526" s="520"/>
      <c r="D526" s="520"/>
      <c r="E526" s="520"/>
      <c r="F526" s="520"/>
      <c r="G526" s="520"/>
      <c r="H526" s="520"/>
      <c r="I526" s="520"/>
      <c r="J526" s="520"/>
      <c r="K526" s="520"/>
    </row>
    <row r="527" spans="1:11" s="195" customFormat="1" ht="15" customHeight="1">
      <c r="A527" s="521"/>
      <c r="B527" s="522"/>
      <c r="C527" s="522"/>
      <c r="D527" s="523"/>
      <c r="E527" s="522"/>
      <c r="F527" s="609" t="s">
        <v>726</v>
      </c>
      <c r="G527" s="609"/>
      <c r="H527" s="609"/>
      <c r="I527" s="609"/>
      <c r="J527" s="609"/>
      <c r="K527" s="386"/>
    </row>
    <row r="528" spans="1:11" s="195" customFormat="1" ht="16.5">
      <c r="A528" s="214"/>
      <c r="C528" s="216"/>
      <c r="E528" s="216"/>
      <c r="G528" s="455"/>
      <c r="H528" s="524" t="str">
        <f>A1</f>
        <v>C«ng ty cp sara viÖt nam</v>
      </c>
      <c r="I528" s="455"/>
      <c r="J528" s="455"/>
      <c r="K528" s="524"/>
    </row>
    <row r="529" spans="1:11" s="195" customFormat="1" ht="15">
      <c r="A529" s="214"/>
      <c r="B529" s="606" t="s">
        <v>662</v>
      </c>
      <c r="C529" s="606"/>
      <c r="D529" s="606"/>
      <c r="E529" s="248"/>
      <c r="F529" s="607" t="s">
        <v>663</v>
      </c>
      <c r="G529" s="607"/>
      <c r="H529" s="607"/>
      <c r="I529" s="607"/>
      <c r="J529" s="607"/>
      <c r="K529" s="219"/>
    </row>
    <row r="530" spans="1:11" s="195" customFormat="1" ht="15">
      <c r="A530" s="214"/>
      <c r="C530" s="216"/>
      <c r="D530" s="234"/>
      <c r="E530" s="216"/>
      <c r="F530" s="234"/>
      <c r="G530" s="216"/>
      <c r="H530" s="234"/>
      <c r="I530" s="303"/>
      <c r="J530" s="276"/>
      <c r="K530" s="276"/>
    </row>
    <row r="531" spans="1:11" s="195" customFormat="1" ht="15">
      <c r="A531" s="214"/>
      <c r="C531" s="216"/>
      <c r="D531" s="234"/>
      <c r="E531" s="216"/>
      <c r="F531" s="234"/>
      <c r="G531" s="216"/>
      <c r="H531" s="234"/>
      <c r="I531" s="303"/>
      <c r="J531" s="276"/>
      <c r="K531" s="276"/>
    </row>
    <row r="532" spans="1:11" s="195" customFormat="1" ht="15">
      <c r="A532" s="214"/>
      <c r="C532" s="216"/>
      <c r="D532" s="234"/>
      <c r="E532" s="216"/>
      <c r="F532" s="234"/>
      <c r="G532" s="216"/>
      <c r="H532" s="234"/>
      <c r="I532" s="303"/>
      <c r="J532" s="276"/>
      <c r="K532" s="276"/>
    </row>
    <row r="533" spans="1:11" s="195" customFormat="1" ht="15">
      <c r="A533" s="214"/>
      <c r="C533" s="216"/>
      <c r="D533" s="234"/>
      <c r="E533" s="216"/>
      <c r="F533" s="234"/>
      <c r="G533" s="216"/>
      <c r="H533" s="234"/>
      <c r="I533" s="303"/>
      <c r="J533" s="276"/>
      <c r="K533" s="276"/>
    </row>
    <row r="534" spans="2:10" ht="15">
      <c r="B534" s="606" t="s">
        <v>745</v>
      </c>
      <c r="C534" s="606"/>
      <c r="D534" s="606"/>
      <c r="E534" s="248"/>
      <c r="F534" s="607" t="str">
        <f>'[2]PL 15in'!G54</f>
        <v>NguyÔn ThÕ S¬n</v>
      </c>
      <c r="G534" s="607"/>
      <c r="H534" s="607"/>
      <c r="I534" s="607"/>
      <c r="J534" s="607"/>
    </row>
  </sheetData>
  <mergeCells count="66">
    <mergeCell ref="B534:D534"/>
    <mergeCell ref="F534:J534"/>
    <mergeCell ref="B523:D523"/>
    <mergeCell ref="B524:D524"/>
    <mergeCell ref="F527:J527"/>
    <mergeCell ref="B529:D529"/>
    <mergeCell ref="F529:J529"/>
    <mergeCell ref="B518:D518"/>
    <mergeCell ref="B519:D519"/>
    <mergeCell ref="B520:D520"/>
    <mergeCell ref="B521:D521"/>
    <mergeCell ref="B514:D514"/>
    <mergeCell ref="B515:D515"/>
    <mergeCell ref="B516:D516"/>
    <mergeCell ref="B517:D517"/>
    <mergeCell ref="B510:D510"/>
    <mergeCell ref="B511:D511"/>
    <mergeCell ref="B512:D512"/>
    <mergeCell ref="B513:D513"/>
    <mergeCell ref="B506:D506"/>
    <mergeCell ref="B507:D507"/>
    <mergeCell ref="B508:D508"/>
    <mergeCell ref="B509:D509"/>
    <mergeCell ref="B502:D502"/>
    <mergeCell ref="B503:D503"/>
    <mergeCell ref="B504:D504"/>
    <mergeCell ref="B505:D505"/>
    <mergeCell ref="B374:J374"/>
    <mergeCell ref="B376:J376"/>
    <mergeCell ref="B378:J378"/>
    <mergeCell ref="B501:D501"/>
    <mergeCell ref="E501:F501"/>
    <mergeCell ref="G501:H501"/>
    <mergeCell ref="I501:J501"/>
    <mergeCell ref="B239:B240"/>
    <mergeCell ref="D239:F239"/>
    <mergeCell ref="H239:K239"/>
    <mergeCell ref="B288:J288"/>
    <mergeCell ref="B199:F199"/>
    <mergeCell ref="B200:F200"/>
    <mergeCell ref="B207:F207"/>
    <mergeCell ref="B208:F208"/>
    <mergeCell ref="B180:J180"/>
    <mergeCell ref="D187:J187"/>
    <mergeCell ref="B197:F197"/>
    <mergeCell ref="B198:F198"/>
    <mergeCell ref="J80:J81"/>
    <mergeCell ref="A106:A107"/>
    <mergeCell ref="B106:D107"/>
    <mergeCell ref="F106:F107"/>
    <mergeCell ref="H106:H107"/>
    <mergeCell ref="J106:J107"/>
    <mergeCell ref="A7:J7"/>
    <mergeCell ref="A8:J8"/>
    <mergeCell ref="B9:J9"/>
    <mergeCell ref="A80:A81"/>
    <mergeCell ref="B80:B81"/>
    <mergeCell ref="D80:D81"/>
    <mergeCell ref="E80:E81"/>
    <mergeCell ref="F80:F81"/>
    <mergeCell ref="G80:G81"/>
    <mergeCell ref="H80:H81"/>
    <mergeCell ref="H2:J2"/>
    <mergeCell ref="A4:J4"/>
    <mergeCell ref="A5:J5"/>
    <mergeCell ref="A6:J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9.140625" defaultRowHeight="12.75"/>
  <cols>
    <col min="1" max="1" width="26.57421875" style="536" customWidth="1"/>
    <col min="2" max="2" width="1.1484375" style="536" customWidth="1"/>
    <col min="3" max="3" width="28.57421875" style="536" customWidth="1"/>
    <col min="4" max="16384" width="8.140625" style="536" customWidth="1"/>
  </cols>
  <sheetData>
    <row r="1" spans="1:3" ht="12.75">
      <c r="A1" s="610"/>
      <c r="C1" s="610"/>
    </row>
    <row r="2" ht="13.5" thickBot="1">
      <c r="A2" s="610"/>
    </row>
    <row r="3" spans="1:3" ht="13.5" thickBot="1">
      <c r="A3" s="610"/>
      <c r="C3" s="610"/>
    </row>
    <row r="4" spans="1:3" ht="12.75">
      <c r="A4" s="610"/>
      <c r="C4" s="610"/>
    </row>
    <row r="5" ht="12.75">
      <c r="C5" s="610"/>
    </row>
    <row r="6" ht="13.5" thickBot="1">
      <c r="C6" s="610"/>
    </row>
    <row r="7" spans="1:3" ht="12.75">
      <c r="A7" s="610"/>
      <c r="C7" s="610"/>
    </row>
    <row r="8" spans="1:3" ht="12.75">
      <c r="A8" s="610"/>
      <c r="C8" s="610"/>
    </row>
    <row r="9" spans="1:3" ht="12.75">
      <c r="A9" s="610"/>
      <c r="C9" s="610"/>
    </row>
    <row r="10" spans="1:3" ht="12.75">
      <c r="A10" s="610"/>
      <c r="C10" s="610"/>
    </row>
    <row r="11" spans="1:3" ht="13.5" thickBot="1">
      <c r="A11" s="610"/>
      <c r="C11" s="610"/>
    </row>
    <row r="12" ht="12.75">
      <c r="C12" s="610"/>
    </row>
    <row r="13" ht="13.5" thickBot="1">
      <c r="C13" s="610"/>
    </row>
    <row r="14" spans="1:3" ht="13.5" thickBot="1">
      <c r="A14" s="610"/>
      <c r="C14" s="610"/>
    </row>
    <row r="15" ht="12.75">
      <c r="A15" s="610"/>
    </row>
    <row r="16" ht="13.5" thickBot="1">
      <c r="A16" s="610"/>
    </row>
    <row r="17" spans="1:3" ht="13.5" thickBot="1">
      <c r="A17" s="610"/>
      <c r="C17" s="610"/>
    </row>
    <row r="18" ht="12.75">
      <c r="C18" s="610"/>
    </row>
    <row r="19" ht="12.75">
      <c r="C19" s="610"/>
    </row>
    <row r="20" spans="1:3" ht="12.75">
      <c r="A20" s="610"/>
      <c r="C20" s="610"/>
    </row>
    <row r="21" spans="1:3" ht="12.75">
      <c r="A21" s="610"/>
      <c r="C21" s="610"/>
    </row>
    <row r="22" spans="1:3" ht="12.75">
      <c r="A22" s="610"/>
      <c r="C22" s="610"/>
    </row>
    <row r="23" spans="1:3" ht="12.75">
      <c r="A23" s="610"/>
      <c r="C23" s="610"/>
    </row>
    <row r="24" ht="12.75">
      <c r="A24" s="610"/>
    </row>
    <row r="25" ht="12.75">
      <c r="A25" s="610"/>
    </row>
    <row r="26" spans="1:3" ht="13.5" thickBot="1">
      <c r="A26" s="610"/>
      <c r="C26" s="610"/>
    </row>
    <row r="27" spans="1:3" ht="12.75">
      <c r="A27" s="610"/>
      <c r="C27" s="610"/>
    </row>
    <row r="28" spans="1:3" ht="12.75">
      <c r="A28" s="610"/>
      <c r="C28" s="610"/>
    </row>
    <row r="29" spans="1:3" ht="12.75">
      <c r="A29" s="610"/>
      <c r="C29" s="610"/>
    </row>
    <row r="30" spans="1:3" ht="12.75">
      <c r="A30" s="610"/>
      <c r="C30" s="610"/>
    </row>
    <row r="31" spans="1:3" ht="12.75">
      <c r="A31" s="610"/>
      <c r="C31" s="610"/>
    </row>
    <row r="32" spans="1:3" ht="12.75">
      <c r="A32" s="610"/>
      <c r="C32" s="610"/>
    </row>
    <row r="33" spans="1:3" ht="12.75">
      <c r="A33" s="610"/>
      <c r="C33" s="610"/>
    </row>
    <row r="34" spans="1:3" ht="12.75">
      <c r="A34" s="610"/>
      <c r="C34" s="610"/>
    </row>
    <row r="35" spans="1:3" ht="12.75">
      <c r="A35" s="610"/>
      <c r="C35" s="610"/>
    </row>
    <row r="36" spans="1:3" ht="12.75">
      <c r="A36" s="610"/>
      <c r="C36" s="610"/>
    </row>
    <row r="37" ht="12.75">
      <c r="A37" s="610"/>
    </row>
    <row r="38" ht="12.75">
      <c r="A38" s="610"/>
    </row>
    <row r="39" spans="1:3" ht="12.75">
      <c r="A39" s="610"/>
      <c r="C39" s="610"/>
    </row>
    <row r="40" spans="1:3" ht="12.75">
      <c r="A40" s="610"/>
      <c r="C40" s="610"/>
    </row>
    <row r="41" spans="1:3" ht="12.75">
      <c r="A41" s="610"/>
      <c r="C41" s="610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selection activeCell="C1" sqref="C1"/>
    </sheetView>
  </sheetViews>
  <sheetFormatPr defaultColWidth="9.140625" defaultRowHeight="12.75"/>
  <cols>
    <col min="1" max="1" width="26.57421875" style="536" customWidth="1"/>
    <col min="2" max="2" width="1.1484375" style="536" customWidth="1"/>
    <col min="3" max="3" width="28.57421875" style="536" customWidth="1"/>
    <col min="4" max="16384" width="8.140625" style="536" customWidth="1"/>
  </cols>
  <sheetData>
    <row r="1" ht="13.5"/>
    <row r="2" ht="14.25" thickBot="1"/>
    <row r="3" ht="13.5" thickBot="1"/>
    <row r="4" ht="12.75"/>
    <row r="5" ht="12.75"/>
    <row r="6" ht="13.5" thickBot="1"/>
    <row r="7" ht="12.75"/>
    <row r="8" ht="12.75"/>
    <row r="9" ht="12.75"/>
    <row r="10" ht="12.75"/>
    <row r="11" ht="13.5" thickBot="1"/>
    <row r="12" ht="12.75"/>
    <row r="13" ht="13.5" thickBot="1"/>
    <row r="14" ht="13.5" thickBot="1"/>
    <row r="15" ht="12.75"/>
    <row r="16" ht="13.5" thickBot="1"/>
    <row r="17" ht="13.5" thickBot="1"/>
    <row r="18" ht="12.75"/>
    <row r="19" ht="12.75"/>
    <row r="20" ht="12.75"/>
    <row r="21" ht="12.75"/>
    <row r="22" ht="12.75"/>
    <row r="23" ht="12.75"/>
    <row r="24" ht="12.75"/>
    <row r="25" ht="12.75"/>
    <row r="26" ht="13.5" thickBot="1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toannh</cp:lastModifiedBy>
  <dcterms:created xsi:type="dcterms:W3CDTF">1996-10-14T23:33:28Z</dcterms:created>
  <dcterms:modified xsi:type="dcterms:W3CDTF">2008-02-21T04:20:06Z</dcterms:modified>
  <cp:category/>
  <cp:version/>
  <cp:contentType/>
  <cp:contentStatus/>
</cp:coreProperties>
</file>